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d598d3f0899c0b79/Documents/Réforme-salariat et coaccueils/Interventions spécifiques Coaccueils/Coaccueil lieu tiers/Fichiers partagés/"/>
    </mc:Choice>
  </mc:AlternateContent>
  <xr:revisionPtr revIDLastSave="0" documentId="8_{2507FACF-06F9-4930-A926-195AC95FDE44}" xr6:coauthVersionLast="47" xr6:coauthVersionMax="47" xr10:uidLastSave="{00000000-0000-0000-0000-000000000000}"/>
  <bookViews>
    <workbookView xWindow="-120" yWindow="-120" windowWidth="29040" windowHeight="15720" tabRatio="827" firstSheet="1" activeTab="1" xr2:uid="{00000000-000D-0000-FFFF-FFFF00000000}"/>
  </bookViews>
  <sheets>
    <sheet name="Mode d'emploi" sheetId="9" r:id="rId1"/>
    <sheet name="Signalétique" sheetId="1" r:id="rId2"/>
    <sheet name="Investissements" sheetId="2" r:id="rId3"/>
    <sheet name="Fonctionnement" sheetId="3" r:id="rId4"/>
    <sheet name="Emploi" sheetId="4" r:id="rId5"/>
    <sheet name="Recettes" sheetId="7" r:id="rId6"/>
    <sheet name="Financement ONE" sheetId="5" r:id="rId7"/>
    <sheet name="Synthèse" sheetId="6" r:id="rId8"/>
    <sheet name="Financements emploi" sheetId="11" r:id="rId9"/>
    <sheet name="Barèmes CP332 et subs ONE" sheetId="10" r:id="rId10"/>
    <sheet name="Normes encadrement" sheetId="8" r:id="rId11"/>
    <sheet name="PFP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6" l="1"/>
  <c r="B14" i="5"/>
  <c r="B22" i="5"/>
  <c r="B19" i="5"/>
  <c r="B16" i="5" s="1"/>
  <c r="W37" i="10"/>
  <c r="W38" i="10" s="1"/>
  <c r="G37" i="10"/>
  <c r="G38" i="10"/>
  <c r="G39" i="10"/>
  <c r="C7" i="10"/>
  <c r="D7" i="10"/>
  <c r="B23" i="7"/>
  <c r="B24" i="7"/>
  <c r="B20" i="7"/>
  <c r="B18" i="7" s="1"/>
  <c r="B16" i="7"/>
  <c r="B15" i="7"/>
  <c r="B3" i="6"/>
  <c r="B15" i="5"/>
  <c r="S13" i="4"/>
  <c r="S14" i="4"/>
  <c r="S15" i="4"/>
  <c r="S16" i="4"/>
  <c r="S17" i="4"/>
  <c r="S12" i="4"/>
  <c r="W15" i="4"/>
  <c r="W17" i="4"/>
  <c r="P16" i="4"/>
  <c r="K17" i="4"/>
  <c r="J16" i="4"/>
  <c r="F13" i="4"/>
  <c r="F14" i="4"/>
  <c r="F17" i="4"/>
  <c r="C5" i="4"/>
  <c r="F12" i="4"/>
  <c r="I12" i="4" s="1"/>
  <c r="B21" i="7" l="1"/>
  <c r="B13" i="7"/>
  <c r="H12" i="4"/>
  <c r="L12" i="4" s="1"/>
  <c r="N12" i="4" s="1"/>
  <c r="B11" i="7" l="1"/>
  <c r="B8" i="5"/>
  <c r="A8" i="5"/>
  <c r="D10" i="5"/>
  <c r="D11" i="5"/>
  <c r="G15" i="4"/>
  <c r="P15" i="4" s="1"/>
  <c r="C3" i="8"/>
  <c r="C8" i="5" l="1"/>
  <c r="M7" i="10"/>
  <c r="N7" i="10" s="1"/>
  <c r="B108" i="2"/>
  <c r="B27" i="2"/>
  <c r="B18" i="2"/>
  <c r="B17" i="2" l="1"/>
  <c r="B7" i="6" l="1"/>
  <c r="B26" i="6"/>
  <c r="C6" i="5" l="1"/>
  <c r="C7" i="5"/>
  <c r="C5" i="5"/>
  <c r="B5" i="5"/>
  <c r="B6" i="5"/>
  <c r="B7" i="5"/>
  <c r="A6" i="5"/>
  <c r="A7" i="5"/>
  <c r="A5" i="5"/>
  <c r="M47" i="10"/>
  <c r="N47" i="10" s="1"/>
  <c r="P47" i="10" s="1"/>
  <c r="M46" i="10"/>
  <c r="N46" i="10" s="1"/>
  <c r="P46" i="10" s="1"/>
  <c r="M45" i="10"/>
  <c r="N45" i="10" s="1"/>
  <c r="P45" i="10" s="1"/>
  <c r="M44" i="10"/>
  <c r="N44" i="10" s="1"/>
  <c r="P44" i="10" s="1"/>
  <c r="M43" i="10"/>
  <c r="N43" i="10" s="1"/>
  <c r="P43" i="10" s="1"/>
  <c r="M42" i="10"/>
  <c r="N42" i="10" s="1"/>
  <c r="P42" i="10" s="1"/>
  <c r="M41" i="10"/>
  <c r="N41" i="10" s="1"/>
  <c r="P41" i="10" s="1"/>
  <c r="M40" i="10"/>
  <c r="N40" i="10" s="1"/>
  <c r="P40" i="10" s="1"/>
  <c r="B40" i="10"/>
  <c r="B41" i="10" s="1"/>
  <c r="B42" i="10" s="1"/>
  <c r="B43" i="10" s="1"/>
  <c r="B44" i="10" s="1"/>
  <c r="B45" i="10" s="1"/>
  <c r="B46" i="10" s="1"/>
  <c r="B47" i="10" s="1"/>
  <c r="M39" i="10"/>
  <c r="N39" i="10" s="1"/>
  <c r="P39" i="10" s="1"/>
  <c r="B39" i="10"/>
  <c r="M38" i="10"/>
  <c r="N38" i="10" s="1"/>
  <c r="P38" i="10" s="1"/>
  <c r="C38" i="10"/>
  <c r="C39" i="10" s="1"/>
  <c r="C40" i="10" s="1"/>
  <c r="W39" i="10"/>
  <c r="W40" i="10" s="1"/>
  <c r="W41" i="10" s="1"/>
  <c r="W42" i="10" s="1"/>
  <c r="W43" i="10" s="1"/>
  <c r="W44" i="10" s="1"/>
  <c r="W45" i="10" s="1"/>
  <c r="W46" i="10" s="1"/>
  <c r="W47" i="10" s="1"/>
  <c r="Q37" i="10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M37" i="10"/>
  <c r="N37" i="10" s="1"/>
  <c r="P37" i="10" s="1"/>
  <c r="G40" i="10"/>
  <c r="G41" i="10" s="1"/>
  <c r="G42" i="10" s="1"/>
  <c r="G43" i="10" s="1"/>
  <c r="G44" i="10" s="1"/>
  <c r="G45" i="10" s="1"/>
  <c r="G46" i="10" s="1"/>
  <c r="G47" i="10" s="1"/>
  <c r="C37" i="10"/>
  <c r="D37" i="10" s="1"/>
  <c r="F37" i="10" s="1"/>
  <c r="X36" i="10"/>
  <c r="X37" i="10" s="1"/>
  <c r="R36" i="10"/>
  <c r="R37" i="10" s="1"/>
  <c r="M36" i="10"/>
  <c r="N36" i="10" s="1"/>
  <c r="P36" i="10" s="1"/>
  <c r="H36" i="10"/>
  <c r="H37" i="10" s="1"/>
  <c r="C36" i="10"/>
  <c r="D36" i="10" s="1"/>
  <c r="F36" i="10" s="1"/>
  <c r="X35" i="10"/>
  <c r="Y35" i="10" s="1"/>
  <c r="T35" i="10"/>
  <c r="T36" i="10" s="1"/>
  <c r="T37" i="10" s="1"/>
  <c r="T38" i="10" s="1"/>
  <c r="T39" i="10" s="1"/>
  <c r="T40" i="10" s="1"/>
  <c r="T41" i="10" s="1"/>
  <c r="T42" i="10" s="1"/>
  <c r="T43" i="10" s="1"/>
  <c r="T44" i="10" s="1"/>
  <c r="T45" i="10" s="1"/>
  <c r="T46" i="10" s="1"/>
  <c r="T47" i="10" s="1"/>
  <c r="R35" i="10"/>
  <c r="S35" i="10" s="1"/>
  <c r="M35" i="10"/>
  <c r="N35" i="10" s="1"/>
  <c r="P35" i="10" s="1"/>
  <c r="H35" i="10"/>
  <c r="I35" i="10" s="1"/>
  <c r="K35" i="10" s="1"/>
  <c r="C35" i="10"/>
  <c r="D35" i="10" s="1"/>
  <c r="F35" i="10" s="1"/>
  <c r="X34" i="10"/>
  <c r="Y34" i="10" s="1"/>
  <c r="U34" i="10"/>
  <c r="U35" i="10" s="1"/>
  <c r="U36" i="10" s="1"/>
  <c r="R34" i="10"/>
  <c r="S34" i="10" s="1"/>
  <c r="M34" i="10"/>
  <c r="N34" i="10" s="1"/>
  <c r="P34" i="10" s="1"/>
  <c r="H34" i="10"/>
  <c r="I34" i="10" s="1"/>
  <c r="K34" i="10" s="1"/>
  <c r="C34" i="10"/>
  <c r="D34" i="10" s="1"/>
  <c r="F34" i="10" s="1"/>
  <c r="X33" i="10"/>
  <c r="Y33" i="10" s="1"/>
  <c r="V33" i="10"/>
  <c r="U33" i="10"/>
  <c r="R33" i="10"/>
  <c r="S33" i="10" s="1"/>
  <c r="M33" i="10"/>
  <c r="N33" i="10" s="1"/>
  <c r="P33" i="10" s="1"/>
  <c r="H33" i="10"/>
  <c r="I33" i="10" s="1"/>
  <c r="K33" i="10" s="1"/>
  <c r="C33" i="10"/>
  <c r="D33" i="10" s="1"/>
  <c r="F33" i="10" s="1"/>
  <c r="X32" i="10"/>
  <c r="Y32" i="10" s="1"/>
  <c r="U32" i="10"/>
  <c r="V32" i="10" s="1"/>
  <c r="R32" i="10"/>
  <c r="S32" i="10" s="1"/>
  <c r="M32" i="10"/>
  <c r="N32" i="10" s="1"/>
  <c r="P32" i="10" s="1"/>
  <c r="H32" i="10"/>
  <c r="I32" i="10" s="1"/>
  <c r="K32" i="10" s="1"/>
  <c r="C32" i="10"/>
  <c r="D32" i="10" s="1"/>
  <c r="F32" i="10" s="1"/>
  <c r="X31" i="10"/>
  <c r="Y31" i="10" s="1"/>
  <c r="U31" i="10"/>
  <c r="V31" i="10" s="1"/>
  <c r="R31" i="10"/>
  <c r="S31" i="10" s="1"/>
  <c r="N31" i="10"/>
  <c r="P31" i="10" s="1"/>
  <c r="M31" i="10"/>
  <c r="H31" i="10"/>
  <c r="I31" i="10" s="1"/>
  <c r="K31" i="10" s="1"/>
  <c r="C31" i="10"/>
  <c r="D31" i="10" s="1"/>
  <c r="F31" i="10" s="1"/>
  <c r="X30" i="10"/>
  <c r="Y30" i="10" s="1"/>
  <c r="U30" i="10"/>
  <c r="V30" i="10" s="1"/>
  <c r="R30" i="10"/>
  <c r="S30" i="10" s="1"/>
  <c r="M30" i="10"/>
  <c r="N30" i="10" s="1"/>
  <c r="P30" i="10" s="1"/>
  <c r="H30" i="10"/>
  <c r="I30" i="10" s="1"/>
  <c r="K30" i="10" s="1"/>
  <c r="C30" i="10"/>
  <c r="D30" i="10" s="1"/>
  <c r="F30" i="10" s="1"/>
  <c r="X29" i="10"/>
  <c r="Y29" i="10" s="1"/>
  <c r="U29" i="10"/>
  <c r="V29" i="10" s="1"/>
  <c r="R29" i="10"/>
  <c r="S29" i="10" s="1"/>
  <c r="M29" i="10"/>
  <c r="N29" i="10" s="1"/>
  <c r="H29" i="10"/>
  <c r="I29" i="10" s="1"/>
  <c r="K29" i="10" s="1"/>
  <c r="C29" i="10"/>
  <c r="D29" i="10" s="1"/>
  <c r="F29" i="10" s="1"/>
  <c r="X28" i="10"/>
  <c r="Y28" i="10" s="1"/>
  <c r="U28" i="10"/>
  <c r="V28" i="10" s="1"/>
  <c r="R28" i="10"/>
  <c r="S28" i="10" s="1"/>
  <c r="N28" i="10"/>
  <c r="P28" i="10" s="1"/>
  <c r="M28" i="10"/>
  <c r="H28" i="10"/>
  <c r="I28" i="10" s="1"/>
  <c r="K28" i="10" s="1"/>
  <c r="C28" i="10"/>
  <c r="D28" i="10" s="1"/>
  <c r="F28" i="10" s="1"/>
  <c r="X27" i="10"/>
  <c r="Y27" i="10" s="1"/>
  <c r="U27" i="10"/>
  <c r="V27" i="10" s="1"/>
  <c r="R27" i="10"/>
  <c r="S27" i="10" s="1"/>
  <c r="M27" i="10"/>
  <c r="N27" i="10" s="1"/>
  <c r="P27" i="10" s="1"/>
  <c r="H27" i="10"/>
  <c r="I27" i="10" s="1"/>
  <c r="K27" i="10" s="1"/>
  <c r="C27" i="10"/>
  <c r="D27" i="10" s="1"/>
  <c r="F27" i="10" s="1"/>
  <c r="X26" i="10"/>
  <c r="Y26" i="10" s="1"/>
  <c r="U26" i="10"/>
  <c r="V26" i="10" s="1"/>
  <c r="R26" i="10"/>
  <c r="S26" i="10" s="1"/>
  <c r="M26" i="10"/>
  <c r="N26" i="10" s="1"/>
  <c r="P26" i="10" s="1"/>
  <c r="H26" i="10"/>
  <c r="I26" i="10" s="1"/>
  <c r="K26" i="10" s="1"/>
  <c r="C26" i="10"/>
  <c r="D26" i="10" s="1"/>
  <c r="F26" i="10" s="1"/>
  <c r="X25" i="10"/>
  <c r="Y25" i="10" s="1"/>
  <c r="U25" i="10"/>
  <c r="V25" i="10" s="1"/>
  <c r="R25" i="10"/>
  <c r="S25" i="10" s="1"/>
  <c r="M25" i="10"/>
  <c r="N25" i="10" s="1"/>
  <c r="P25" i="10" s="1"/>
  <c r="H25" i="10"/>
  <c r="I25" i="10" s="1"/>
  <c r="K25" i="10" s="1"/>
  <c r="C25" i="10"/>
  <c r="D25" i="10" s="1"/>
  <c r="F25" i="10" s="1"/>
  <c r="X24" i="10"/>
  <c r="Y24" i="10" s="1"/>
  <c r="U24" i="10"/>
  <c r="V24" i="10" s="1"/>
  <c r="R24" i="10"/>
  <c r="S24" i="10" s="1"/>
  <c r="M24" i="10"/>
  <c r="N24" i="10" s="1"/>
  <c r="P24" i="10" s="1"/>
  <c r="H24" i="10"/>
  <c r="I24" i="10" s="1"/>
  <c r="K24" i="10" s="1"/>
  <c r="C24" i="10"/>
  <c r="D24" i="10" s="1"/>
  <c r="F24" i="10" s="1"/>
  <c r="X23" i="10"/>
  <c r="Y23" i="10" s="1"/>
  <c r="U23" i="10"/>
  <c r="V23" i="10" s="1"/>
  <c r="R23" i="10"/>
  <c r="S23" i="10" s="1"/>
  <c r="M23" i="10"/>
  <c r="N23" i="10" s="1"/>
  <c r="P23" i="10" s="1"/>
  <c r="H23" i="10"/>
  <c r="I23" i="10" s="1"/>
  <c r="K23" i="10" s="1"/>
  <c r="C23" i="10"/>
  <c r="D23" i="10" s="1"/>
  <c r="F23" i="10" s="1"/>
  <c r="X22" i="10"/>
  <c r="Y22" i="10" s="1"/>
  <c r="U22" i="10"/>
  <c r="V22" i="10" s="1"/>
  <c r="R22" i="10"/>
  <c r="S22" i="10" s="1"/>
  <c r="M22" i="10"/>
  <c r="N22" i="10" s="1"/>
  <c r="P22" i="10" s="1"/>
  <c r="H22" i="10"/>
  <c r="I22" i="10" s="1"/>
  <c r="K22" i="10" s="1"/>
  <c r="C22" i="10"/>
  <c r="D22" i="10" s="1"/>
  <c r="F22" i="10" s="1"/>
  <c r="X21" i="10"/>
  <c r="Y21" i="10" s="1"/>
  <c r="U21" i="10"/>
  <c r="V21" i="10" s="1"/>
  <c r="R21" i="10"/>
  <c r="S21" i="10" s="1"/>
  <c r="M21" i="10"/>
  <c r="N21" i="10" s="1"/>
  <c r="P21" i="10" s="1"/>
  <c r="H21" i="10"/>
  <c r="I21" i="10" s="1"/>
  <c r="K21" i="10" s="1"/>
  <c r="C21" i="10"/>
  <c r="D21" i="10" s="1"/>
  <c r="F21" i="10" s="1"/>
  <c r="X20" i="10"/>
  <c r="Y20" i="10" s="1"/>
  <c r="U20" i="10"/>
  <c r="V20" i="10" s="1"/>
  <c r="R20" i="10"/>
  <c r="S20" i="10" s="1"/>
  <c r="M20" i="10"/>
  <c r="N20" i="10" s="1"/>
  <c r="P20" i="10" s="1"/>
  <c r="H20" i="10"/>
  <c r="I20" i="10" s="1"/>
  <c r="K20" i="10" s="1"/>
  <c r="C20" i="10"/>
  <c r="D20" i="10" s="1"/>
  <c r="F20" i="10" s="1"/>
  <c r="X19" i="10"/>
  <c r="Y19" i="10" s="1"/>
  <c r="U19" i="10"/>
  <c r="V19" i="10" s="1"/>
  <c r="R19" i="10"/>
  <c r="S19" i="10" s="1"/>
  <c r="M19" i="10"/>
  <c r="N19" i="10" s="1"/>
  <c r="P19" i="10" s="1"/>
  <c r="H19" i="10"/>
  <c r="I19" i="10" s="1"/>
  <c r="K19" i="10" s="1"/>
  <c r="C19" i="10"/>
  <c r="D19" i="10" s="1"/>
  <c r="F19" i="10" s="1"/>
  <c r="X18" i="10"/>
  <c r="Y18" i="10" s="1"/>
  <c r="U18" i="10"/>
  <c r="V18" i="10" s="1"/>
  <c r="R18" i="10"/>
  <c r="S18" i="10" s="1"/>
  <c r="M18" i="10"/>
  <c r="N18" i="10" s="1"/>
  <c r="P18" i="10" s="1"/>
  <c r="H18" i="10"/>
  <c r="I18" i="10" s="1"/>
  <c r="K18" i="10" s="1"/>
  <c r="C18" i="10"/>
  <c r="D18" i="10" s="1"/>
  <c r="F18" i="10" s="1"/>
  <c r="X17" i="10"/>
  <c r="Y17" i="10" s="1"/>
  <c r="U17" i="10"/>
  <c r="V17" i="10" s="1"/>
  <c r="R17" i="10"/>
  <c r="S17" i="10" s="1"/>
  <c r="M17" i="10"/>
  <c r="N17" i="10" s="1"/>
  <c r="P17" i="10" s="1"/>
  <c r="H17" i="10"/>
  <c r="I17" i="10" s="1"/>
  <c r="K17" i="10" s="1"/>
  <c r="C17" i="10"/>
  <c r="D17" i="10" s="1"/>
  <c r="F17" i="10" s="1"/>
  <c r="X16" i="10"/>
  <c r="Y16" i="10" s="1"/>
  <c r="U16" i="10"/>
  <c r="V16" i="10" s="1"/>
  <c r="R16" i="10"/>
  <c r="S16" i="10" s="1"/>
  <c r="M16" i="10"/>
  <c r="N16" i="10" s="1"/>
  <c r="P16" i="10" s="1"/>
  <c r="H16" i="10"/>
  <c r="I16" i="10" s="1"/>
  <c r="K16" i="10" s="1"/>
  <c r="C16" i="10"/>
  <c r="D16" i="10" s="1"/>
  <c r="F16" i="10" s="1"/>
  <c r="X15" i="10"/>
  <c r="Y15" i="10" s="1"/>
  <c r="U15" i="10"/>
  <c r="V15" i="10" s="1"/>
  <c r="R15" i="10"/>
  <c r="S15" i="10" s="1"/>
  <c r="M15" i="10"/>
  <c r="N15" i="10" s="1"/>
  <c r="P15" i="10" s="1"/>
  <c r="H15" i="10"/>
  <c r="I15" i="10" s="1"/>
  <c r="K15" i="10" s="1"/>
  <c r="C15" i="10"/>
  <c r="D15" i="10" s="1"/>
  <c r="F15" i="10" s="1"/>
  <c r="X14" i="10"/>
  <c r="Y14" i="10" s="1"/>
  <c r="U14" i="10"/>
  <c r="V14" i="10" s="1"/>
  <c r="R14" i="10"/>
  <c r="S14" i="10" s="1"/>
  <c r="M14" i="10"/>
  <c r="N14" i="10" s="1"/>
  <c r="P14" i="10" s="1"/>
  <c r="H14" i="10"/>
  <c r="I14" i="10" s="1"/>
  <c r="K14" i="10" s="1"/>
  <c r="C14" i="10"/>
  <c r="D14" i="10" s="1"/>
  <c r="F14" i="10" s="1"/>
  <c r="X13" i="10"/>
  <c r="Y13" i="10" s="1"/>
  <c r="U13" i="10"/>
  <c r="V13" i="10" s="1"/>
  <c r="R13" i="10"/>
  <c r="S13" i="10" s="1"/>
  <c r="M13" i="10"/>
  <c r="N13" i="10" s="1"/>
  <c r="P13" i="10" s="1"/>
  <c r="H13" i="10"/>
  <c r="I13" i="10" s="1"/>
  <c r="K13" i="10" s="1"/>
  <c r="C13" i="10"/>
  <c r="D13" i="10" s="1"/>
  <c r="F13" i="10" s="1"/>
  <c r="X12" i="10"/>
  <c r="Y12" i="10" s="1"/>
  <c r="U12" i="10"/>
  <c r="V12" i="10" s="1"/>
  <c r="R12" i="10"/>
  <c r="S12" i="10" s="1"/>
  <c r="M12" i="10"/>
  <c r="N12" i="10" s="1"/>
  <c r="P12" i="10" s="1"/>
  <c r="H12" i="10"/>
  <c r="I12" i="10" s="1"/>
  <c r="C12" i="10"/>
  <c r="D12" i="10" s="1"/>
  <c r="F12" i="10" s="1"/>
  <c r="X11" i="10"/>
  <c r="Y11" i="10" s="1"/>
  <c r="U11" i="10"/>
  <c r="V11" i="10" s="1"/>
  <c r="R11" i="10"/>
  <c r="S11" i="10" s="1"/>
  <c r="M11" i="10"/>
  <c r="N11" i="10" s="1"/>
  <c r="P11" i="10" s="1"/>
  <c r="H11" i="10"/>
  <c r="I11" i="10" s="1"/>
  <c r="K11" i="10" s="1"/>
  <c r="C11" i="10"/>
  <c r="D11" i="10" s="1"/>
  <c r="F11" i="10" s="1"/>
  <c r="X10" i="10"/>
  <c r="Y10" i="10" s="1"/>
  <c r="U10" i="10"/>
  <c r="V10" i="10" s="1"/>
  <c r="R10" i="10"/>
  <c r="S10" i="10" s="1"/>
  <c r="M10" i="10"/>
  <c r="N10" i="10" s="1"/>
  <c r="P10" i="10" s="1"/>
  <c r="H10" i="10"/>
  <c r="I10" i="10" s="1"/>
  <c r="K10" i="10" s="1"/>
  <c r="C10" i="10"/>
  <c r="D10" i="10" s="1"/>
  <c r="X9" i="10"/>
  <c r="Y9" i="10" s="1"/>
  <c r="U9" i="10"/>
  <c r="V9" i="10" s="1"/>
  <c r="R9" i="10"/>
  <c r="S9" i="10" s="1"/>
  <c r="M9" i="10"/>
  <c r="N9" i="10" s="1"/>
  <c r="P9" i="10" s="1"/>
  <c r="H9" i="10"/>
  <c r="I9" i="10" s="1"/>
  <c r="K9" i="10" s="1"/>
  <c r="C9" i="10"/>
  <c r="D9" i="10" s="1"/>
  <c r="F9" i="10" s="1"/>
  <c r="X8" i="10"/>
  <c r="Y8" i="10" s="1"/>
  <c r="U8" i="10"/>
  <c r="V8" i="10" s="1"/>
  <c r="R8" i="10"/>
  <c r="S8" i="10" s="1"/>
  <c r="N8" i="10"/>
  <c r="P8" i="10" s="1"/>
  <c r="M8" i="10"/>
  <c r="H8" i="10"/>
  <c r="I8" i="10" s="1"/>
  <c r="K8" i="10" s="1"/>
  <c r="C8" i="10"/>
  <c r="D8" i="10" s="1"/>
  <c r="F8" i="10" s="1"/>
  <c r="X7" i="10"/>
  <c r="Y7" i="10" s="1"/>
  <c r="U7" i="10"/>
  <c r="V7" i="10" s="1"/>
  <c r="F16" i="4" s="1"/>
  <c r="R7" i="10"/>
  <c r="S7" i="10" s="1"/>
  <c r="P7" i="10"/>
  <c r="H7" i="10"/>
  <c r="I7" i="10" s="1"/>
  <c r="K7" i="10" s="1"/>
  <c r="H16" i="4" l="1"/>
  <c r="L16" i="4" s="1"/>
  <c r="N16" i="4" s="1"/>
  <c r="I16" i="4"/>
  <c r="K12" i="10"/>
  <c r="D8" i="5" s="1"/>
  <c r="E8" i="5" s="1"/>
  <c r="F8" i="5" s="1"/>
  <c r="F11" i="5" s="1"/>
  <c r="F15" i="4"/>
  <c r="C11" i="5"/>
  <c r="E11" i="5" s="1"/>
  <c r="F7" i="10"/>
  <c r="D7" i="5" s="1"/>
  <c r="E7" i="5" s="1"/>
  <c r="F7" i="5" s="1"/>
  <c r="P29" i="10"/>
  <c r="F10" i="10"/>
  <c r="V34" i="10"/>
  <c r="D38" i="10"/>
  <c r="F38" i="10" s="1"/>
  <c r="Y36" i="10"/>
  <c r="C10" i="5"/>
  <c r="E10" i="5" s="1"/>
  <c r="R38" i="10"/>
  <c r="S37" i="10"/>
  <c r="I37" i="10"/>
  <c r="K37" i="10" s="1"/>
  <c r="H38" i="10"/>
  <c r="Y37" i="10"/>
  <c r="X38" i="10"/>
  <c r="C41" i="10"/>
  <c r="D40" i="10"/>
  <c r="F40" i="10" s="1"/>
  <c r="U37" i="10"/>
  <c r="V36" i="10"/>
  <c r="I36" i="10"/>
  <c r="K36" i="10" s="1"/>
  <c r="S36" i="10"/>
  <c r="D39" i="10"/>
  <c r="F39" i="10" s="1"/>
  <c r="V35" i="10"/>
  <c r="D5" i="5" l="1"/>
  <c r="E5" i="5" s="1"/>
  <c r="F5" i="5" s="1"/>
  <c r="D6" i="5"/>
  <c r="E6" i="5" s="1"/>
  <c r="F6" i="5" s="1"/>
  <c r="W16" i="4"/>
  <c r="K16" i="4"/>
  <c r="M16" i="4"/>
  <c r="O16" i="4"/>
  <c r="H39" i="10"/>
  <c r="I38" i="10"/>
  <c r="K38" i="10" s="1"/>
  <c r="X39" i="10"/>
  <c r="Y38" i="10"/>
  <c r="C42" i="10"/>
  <c r="D41" i="10"/>
  <c r="F41" i="10" s="1"/>
  <c r="V37" i="10"/>
  <c r="U38" i="10"/>
  <c r="S38" i="10"/>
  <c r="R39" i="10"/>
  <c r="V16" i="4" l="1"/>
  <c r="F10" i="5"/>
  <c r="U39" i="10"/>
  <c r="V38" i="10"/>
  <c r="X40" i="10"/>
  <c r="Y39" i="10"/>
  <c r="R40" i="10"/>
  <c r="S39" i="10"/>
  <c r="C43" i="10"/>
  <c r="D42" i="10"/>
  <c r="F42" i="10" s="1"/>
  <c r="I39" i="10"/>
  <c r="K39" i="10" s="1"/>
  <c r="H40" i="10"/>
  <c r="H41" i="10" l="1"/>
  <c r="I40" i="10"/>
  <c r="K40" i="10" s="1"/>
  <c r="R41" i="10"/>
  <c r="S40" i="10"/>
  <c r="U40" i="10"/>
  <c r="V39" i="10"/>
  <c r="C44" i="10"/>
  <c r="D43" i="10"/>
  <c r="F43" i="10" s="1"/>
  <c r="Y40" i="10"/>
  <c r="X41" i="10"/>
  <c r="C45" i="10" l="1"/>
  <c r="D44" i="10"/>
  <c r="F44" i="10" s="1"/>
  <c r="R42" i="10"/>
  <c r="S41" i="10"/>
  <c r="X42" i="10"/>
  <c r="Y41" i="10"/>
  <c r="U41" i="10"/>
  <c r="V40" i="10"/>
  <c r="H42" i="10"/>
  <c r="I41" i="10"/>
  <c r="K41" i="10" s="1"/>
  <c r="U42" i="10" l="1"/>
  <c r="V41" i="10"/>
  <c r="R43" i="10"/>
  <c r="S42" i="10"/>
  <c r="H43" i="10"/>
  <c r="I42" i="10"/>
  <c r="K42" i="10" s="1"/>
  <c r="X43" i="10"/>
  <c r="Y42" i="10"/>
  <c r="C46" i="10"/>
  <c r="D45" i="10"/>
  <c r="F45" i="10" s="1"/>
  <c r="R44" i="10" l="1"/>
  <c r="S43" i="10"/>
  <c r="X44" i="10"/>
  <c r="Y43" i="10"/>
  <c r="C47" i="10"/>
  <c r="D47" i="10" s="1"/>
  <c r="F47" i="10" s="1"/>
  <c r="D46" i="10"/>
  <c r="F46" i="10" s="1"/>
  <c r="H44" i="10"/>
  <c r="I43" i="10"/>
  <c r="K43" i="10" s="1"/>
  <c r="U43" i="10"/>
  <c r="V42" i="10"/>
  <c r="V43" i="10" l="1"/>
  <c r="U44" i="10"/>
  <c r="R45" i="10"/>
  <c r="S44" i="10"/>
  <c r="H45" i="10"/>
  <c r="I44" i="10"/>
  <c r="K44" i="10" s="1"/>
  <c r="Y44" i="10"/>
  <c r="X45" i="10"/>
  <c r="X46" i="10" l="1"/>
  <c r="Y45" i="10"/>
  <c r="R46" i="10"/>
  <c r="S45" i="10"/>
  <c r="U45" i="10"/>
  <c r="V44" i="10"/>
  <c r="H46" i="10"/>
  <c r="I45" i="10"/>
  <c r="K45" i="10" s="1"/>
  <c r="H47" i="10" l="1"/>
  <c r="I47" i="10" s="1"/>
  <c r="K47" i="10" s="1"/>
  <c r="I46" i="10"/>
  <c r="K46" i="10" s="1"/>
  <c r="R47" i="10"/>
  <c r="S47" i="10" s="1"/>
  <c r="S46" i="10"/>
  <c r="U46" i="10"/>
  <c r="V45" i="10"/>
  <c r="X47" i="10"/>
  <c r="Y47" i="10" s="1"/>
  <c r="Y46" i="10"/>
  <c r="U47" i="10" l="1"/>
  <c r="V47" i="10" s="1"/>
  <c r="V46" i="10"/>
  <c r="B6" i="6" l="1"/>
  <c r="B5" i="6"/>
  <c r="B4" i="6"/>
  <c r="B8" i="6"/>
  <c r="B15" i="6"/>
  <c r="P13" i="4" l="1"/>
  <c r="P14" i="4"/>
  <c r="P17" i="4"/>
  <c r="H13" i="4"/>
  <c r="H14" i="4"/>
  <c r="H15" i="4"/>
  <c r="J15" i="4" s="1"/>
  <c r="K12" i="4"/>
  <c r="K13" i="4"/>
  <c r="K14" i="4"/>
  <c r="K15" i="4"/>
  <c r="B2" i="4"/>
  <c r="U18" i="4" l="1"/>
  <c r="B30" i="7" s="1"/>
  <c r="I13" i="4"/>
  <c r="I14" i="4"/>
  <c r="M14" i="4" s="1"/>
  <c r="I15" i="4"/>
  <c r="M15" i="4" s="1"/>
  <c r="L13" i="4"/>
  <c r="N13" i="4" s="1"/>
  <c r="J13" i="4"/>
  <c r="J12" i="4"/>
  <c r="O12" i="4" s="1"/>
  <c r="J14" i="4"/>
  <c r="L14" i="4"/>
  <c r="N14" i="4" s="1"/>
  <c r="W13" i="4" l="1"/>
  <c r="B3" i="7"/>
  <c r="M12" i="4"/>
  <c r="W12" i="4"/>
  <c r="M13" i="4"/>
  <c r="W14" i="4"/>
  <c r="O13" i="4"/>
  <c r="O14" i="4"/>
  <c r="B35" i="6" l="1"/>
  <c r="J17" i="4"/>
  <c r="V13" i="4" l="1"/>
  <c r="B28" i="6"/>
  <c r="V14" i="4"/>
  <c r="B27" i="6"/>
  <c r="S18" i="4" l="1"/>
  <c r="A2" i="4" l="1"/>
  <c r="B38" i="6"/>
  <c r="B70" i="2"/>
  <c r="B61" i="2"/>
  <c r="A8" i="6"/>
  <c r="P12" i="4" l="1"/>
  <c r="B9" i="3"/>
  <c r="B2" i="3"/>
  <c r="B19" i="6" l="1"/>
  <c r="V12" i="4"/>
  <c r="B39" i="6"/>
  <c r="I17" i="4"/>
  <c r="B24" i="6" l="1"/>
  <c r="K18" i="4"/>
  <c r="B2" i="2"/>
  <c r="D10" i="6" s="1"/>
  <c r="A4" i="6" l="1"/>
  <c r="A5" i="6"/>
  <c r="A6" i="6"/>
  <c r="A7" i="6"/>
  <c r="A3" i="6"/>
  <c r="H17" i="4"/>
  <c r="G18" i="4"/>
  <c r="P18" i="4"/>
  <c r="L17" i="4" l="1"/>
  <c r="N17" i="4" s="1"/>
  <c r="H18" i="4"/>
  <c r="L15" i="4"/>
  <c r="B37" i="6"/>
  <c r="M17" i="4"/>
  <c r="I18" i="4"/>
  <c r="B18" i="6"/>
  <c r="B48" i="3"/>
  <c r="B21" i="6" s="1"/>
  <c r="B41" i="3"/>
  <c r="B10" i="2"/>
  <c r="B99" i="2"/>
  <c r="B78" i="2"/>
  <c r="B85" i="2"/>
  <c r="B90" i="2"/>
  <c r="B49" i="2"/>
  <c r="B56" i="2"/>
  <c r="O17" i="4" l="1"/>
  <c r="V17" i="4" s="1"/>
  <c r="B20" i="6"/>
  <c r="B55" i="3"/>
  <c r="N15" i="4"/>
  <c r="N18" i="4" s="1"/>
  <c r="O15" i="4"/>
  <c r="W18" i="4"/>
  <c r="B29" i="6" s="1"/>
  <c r="F12" i="5"/>
  <c r="B3" i="5" s="1"/>
  <c r="L18" i="4"/>
  <c r="D17" i="6"/>
  <c r="M18" i="4"/>
  <c r="G7" i="4" s="1"/>
  <c r="B41" i="2"/>
  <c r="B34" i="2"/>
  <c r="V15" i="4" l="1"/>
  <c r="J18" i="4"/>
  <c r="O18" i="4"/>
  <c r="B33" i="2"/>
  <c r="B14" i="6" s="1"/>
  <c r="D14" i="6" s="1"/>
  <c r="D15" i="6"/>
  <c r="V18" i="4" l="1"/>
  <c r="B10" i="4" s="1"/>
  <c r="B25" i="6"/>
  <c r="D23" i="6" s="1"/>
  <c r="B36" i="6"/>
  <c r="B5" i="7"/>
  <c r="B36" i="7" s="1"/>
  <c r="D12" i="6"/>
  <c r="D32" i="6" l="1"/>
  <c r="D31" i="6"/>
  <c r="D34" i="6" l="1"/>
  <c r="D42" i="6" s="1"/>
  <c r="D45" i="6" s="1"/>
  <c r="D4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tc={660222F0-B4F5-4600-8E8C-61EC3F3FC3C2}</author>
    <author>tc={AA33E663-0ACF-4422-B05E-75E725FACA87}</author>
  </authors>
  <commentList>
    <comment ref="U11" authorId="0" shapeId="0" xr:uid="{660222F0-B4F5-4600-8E8C-61EC3F3FC3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Exemple : 
Maribel pour l'encadrement pour augmenter le temps d'encadrement au-delà du financement ONE
APE pour l'entretien ou le support admin 
Etc.</t>
      </text>
    </comment>
    <comment ref="P15" authorId="1" shapeId="0" xr:uid="{AA33E663-0ACF-4422-B05E-75E725FACA8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Coût proratisé selon le temps en travail en raison du temps de travail supplémentaire affecté à d'autres missions dans le SAE.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tc={9C9B6455-3005-47FA-90FB-97D5F20A61B4}</author>
    <author>tc={6FFE2AE3-40A5-4C76-8694-551B451F0D2C}</author>
  </authors>
  <commentList>
    <comment ref="C14" authorId="0" shapeId="0" xr:uid="{9C9B6455-3005-47FA-90FB-97D5F20A61B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Amortissement en 5 ans 
% à adapter selon la durée de l'amortissement
</t>
      </text>
    </comment>
    <comment ref="C15" authorId="1" shapeId="0" xr:uid="{6FFE2AE3-40A5-4C76-8694-551B451F0D2C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Amortissement en 3 ans 
À adapter </t>
      </text>
    </comment>
  </commentList>
</comments>
</file>

<file path=xl/sharedStrings.xml><?xml version="1.0" encoding="utf-8"?>
<sst xmlns="http://schemas.openxmlformats.org/spreadsheetml/2006/main" count="439" uniqueCount="308">
  <si>
    <t xml:space="preserve">Les onglets jaunes sont des onglets "ressources" qui contiennent des données utilisées dans les autres onglets. </t>
  </si>
  <si>
    <t>Les cellules grisées sont à compléter. (si nécessaire)</t>
  </si>
  <si>
    <t xml:space="preserve">Le format des cellules est déjà paramétré. </t>
  </si>
  <si>
    <t xml:space="preserve">Les lignes "Autre" sont à renommer selon les spécificités du projet. </t>
  </si>
  <si>
    <t xml:space="preserve">Pour ajouter une ligne dans une rubrique, </t>
  </si>
  <si>
    <t xml:space="preserve">- sélectionner la dernière ligne de la rubrique (en cliquant sur le nombre au début de la ligne),  </t>
  </si>
  <si>
    <t>- faire clic droit, "Insérer"</t>
  </si>
  <si>
    <t>La ligne s'insère au dessus de la dernière ligne. Elle est ainsi prise en compte dans le sous total.</t>
  </si>
  <si>
    <t>SIGNALETIQUE</t>
  </si>
  <si>
    <t>Pouvoir Organisateur</t>
  </si>
  <si>
    <t xml:space="preserve">Adresse </t>
  </si>
  <si>
    <t>CP</t>
  </si>
  <si>
    <t>Localité</t>
  </si>
  <si>
    <t>Subrégion</t>
  </si>
  <si>
    <t xml:space="preserve">NAMUR </t>
  </si>
  <si>
    <t xml:space="preserve">Frais d'installation </t>
  </si>
  <si>
    <t xml:space="preserve">Commentaires généraux </t>
  </si>
  <si>
    <t>Détails</t>
  </si>
  <si>
    <t>Frais de notaire</t>
  </si>
  <si>
    <t>Frais d'architecte</t>
  </si>
  <si>
    <t>Frais administratifs</t>
  </si>
  <si>
    <t>Frais de publicité</t>
  </si>
  <si>
    <t>Autre (à renommer)</t>
  </si>
  <si>
    <t>Frais d'infrastructure</t>
  </si>
  <si>
    <t>Achat de terrain et construction</t>
  </si>
  <si>
    <t>Achat du bâtiment</t>
  </si>
  <si>
    <t>Frais de rénovation</t>
  </si>
  <si>
    <t xml:space="preserve">Frais d'aménagement </t>
  </si>
  <si>
    <t>Intérieur</t>
  </si>
  <si>
    <t>Installation de chauffage</t>
  </si>
  <si>
    <t>Eclairage</t>
  </si>
  <si>
    <t>Protection solaire</t>
  </si>
  <si>
    <t>Peinture</t>
  </si>
  <si>
    <t>Revêtement de sol de type vinyle</t>
  </si>
  <si>
    <t xml:space="preserve">Extérieur </t>
  </si>
  <si>
    <t xml:space="preserve">Pelouse </t>
  </si>
  <si>
    <t>Clôtures</t>
  </si>
  <si>
    <t xml:space="preserve">Achat mobilier </t>
  </si>
  <si>
    <t xml:space="preserve">Espace accueil </t>
  </si>
  <si>
    <t>Casiers</t>
  </si>
  <si>
    <t>Table à langer</t>
  </si>
  <si>
    <t>Etagère ou rangement pour sièges coques</t>
  </si>
  <si>
    <t>Portes manteaux</t>
  </si>
  <si>
    <t>Paillassons anti salissures</t>
  </si>
  <si>
    <t xml:space="preserve">Espace activités intérieurs </t>
  </si>
  <si>
    <t xml:space="preserve">Meuble de rangement </t>
  </si>
  <si>
    <t>Meubles bas</t>
  </si>
  <si>
    <t xml:space="preserve">Tapis de sol </t>
  </si>
  <si>
    <t>Modules</t>
  </si>
  <si>
    <t>Espace activités extérieures</t>
  </si>
  <si>
    <t>Chaises et tables</t>
  </si>
  <si>
    <t>Rangements pour les jeux extérieurs</t>
  </si>
  <si>
    <t xml:space="preserve">Espace cuisine </t>
  </si>
  <si>
    <t xml:space="preserve">Aménagement espace cuisine 
(plan de travail, table de cuisson, évier, etc.) </t>
  </si>
  <si>
    <t xml:space="preserve">Espace repas </t>
  </si>
  <si>
    <t>Chaises basse adultes</t>
  </si>
  <si>
    <t>Chaises hautes</t>
  </si>
  <si>
    <t>Fauteuil allaitement</t>
  </si>
  <si>
    <t>Tables enfants</t>
  </si>
  <si>
    <t xml:space="preserve">Espace soins et sanitaires </t>
  </si>
  <si>
    <t>Tables à langer + matelas</t>
  </si>
  <si>
    <t>Armoire à pharmacie</t>
  </si>
  <si>
    <t>Rangements individuels matériel de change</t>
  </si>
  <si>
    <t>Lavabos bas pour enfants</t>
  </si>
  <si>
    <t xml:space="preserve">Espace sommeil-repos </t>
  </si>
  <si>
    <t>en lien avec achat matériel</t>
  </si>
  <si>
    <t>Lits à barreaux (normes NBN EN 716)</t>
  </si>
  <si>
    <t>Matelas</t>
  </si>
  <si>
    <t>Couchettes</t>
  </si>
  <si>
    <t>Draps</t>
  </si>
  <si>
    <t>Protèges matelas</t>
  </si>
  <si>
    <t xml:space="preserve">Espace buanderie </t>
  </si>
  <si>
    <t>Armoires et rangement</t>
  </si>
  <si>
    <t xml:space="preserve">Espace du personnel </t>
  </si>
  <si>
    <t>Table(s)</t>
  </si>
  <si>
    <t>Chaises</t>
  </si>
  <si>
    <t>Rangements</t>
  </si>
  <si>
    <t xml:space="preserve">Espace bureau </t>
  </si>
  <si>
    <t xml:space="preserve">Bureau </t>
  </si>
  <si>
    <t xml:space="preserve">Chaises </t>
  </si>
  <si>
    <t>Armoires et rangements</t>
  </si>
  <si>
    <t xml:space="preserve">Achat de matériel </t>
  </si>
  <si>
    <t>Enveloppe globale</t>
  </si>
  <si>
    <t>enveloppe globale ou détail ci-dessous</t>
  </si>
  <si>
    <t>Extincteurs</t>
  </si>
  <si>
    <t>à adapter en fonction du mode de préparation des repas</t>
  </si>
  <si>
    <t>Téléphone</t>
  </si>
  <si>
    <t>FRAIS DE FONCTIONNEMENT</t>
  </si>
  <si>
    <t>Approvisionnements</t>
  </si>
  <si>
    <t>Commentaires généraux</t>
  </si>
  <si>
    <t>Approvisionnements repas</t>
  </si>
  <si>
    <t>Sous-traitance repas</t>
  </si>
  <si>
    <t>Approvisionnements goûters</t>
  </si>
  <si>
    <t>Services et biens divers</t>
  </si>
  <si>
    <t>Loyers</t>
  </si>
  <si>
    <t>Charges locatives</t>
  </si>
  <si>
    <t>Entretien et réparation</t>
  </si>
  <si>
    <t>Produits d'entretien divers</t>
  </si>
  <si>
    <t>Petit matériel non amortissable</t>
  </si>
  <si>
    <t>Eau</t>
  </si>
  <si>
    <t>Electricité</t>
  </si>
  <si>
    <t>Internet</t>
  </si>
  <si>
    <t>Frais postaux</t>
  </si>
  <si>
    <t>Fournitures de bureau</t>
  </si>
  <si>
    <t>Fournitures informatiques</t>
  </si>
  <si>
    <t>Documentation</t>
  </si>
  <si>
    <t>Frais pharmaceutiques</t>
  </si>
  <si>
    <t>Assurance responsabilité civile</t>
  </si>
  <si>
    <t>Assurance Incendie</t>
  </si>
  <si>
    <t>Assurance organisateur de manifestations diverses</t>
  </si>
  <si>
    <t>Honoraires d'avocat</t>
  </si>
  <si>
    <t>Publications légales</t>
  </si>
  <si>
    <t>Annonces et insertions</t>
  </si>
  <si>
    <t xml:space="preserve">Frais de site internet </t>
  </si>
  <si>
    <t>Frais de déplacements missions</t>
  </si>
  <si>
    <t>Secrétariat social</t>
  </si>
  <si>
    <t>Formations</t>
  </si>
  <si>
    <t xml:space="preserve">Taxes </t>
  </si>
  <si>
    <t>Frais de cadastre</t>
  </si>
  <si>
    <t>Immondices</t>
  </si>
  <si>
    <t>AFSCA</t>
  </si>
  <si>
    <t xml:space="preserve">Charges financières </t>
  </si>
  <si>
    <t>Intérêt crédit hypothécaire</t>
  </si>
  <si>
    <t>Frais bancaires</t>
  </si>
  <si>
    <t xml:space="preserve">Intérêts </t>
  </si>
  <si>
    <t>TOTAL</t>
  </si>
  <si>
    <t>EMPLOI</t>
  </si>
  <si>
    <t>Norme d'encadrement minimale</t>
  </si>
  <si>
    <t>Accueil</t>
  </si>
  <si>
    <t>ETP</t>
  </si>
  <si>
    <t>Encadrement</t>
  </si>
  <si>
    <t>Direction MA</t>
  </si>
  <si>
    <t>Logistique et cuisine</t>
  </si>
  <si>
    <t>Entretien</t>
  </si>
  <si>
    <t>Admin</t>
  </si>
  <si>
    <t>Taux ONSS</t>
  </si>
  <si>
    <t>Frais de personnel</t>
  </si>
  <si>
    <t>Déplacements dom-trav voiture</t>
  </si>
  <si>
    <t>1ère année uniquement</t>
  </si>
  <si>
    <t xml:space="preserve">Fonction </t>
  </si>
  <si>
    <t>ouv./empl.</t>
  </si>
  <si>
    <t>Nouvel engagement ?</t>
  </si>
  <si>
    <t>Financement</t>
  </si>
  <si>
    <t>Ancienneté</t>
  </si>
  <si>
    <t>Salaire brut TP</t>
  </si>
  <si>
    <t>Salaire brut mensuel</t>
  </si>
  <si>
    <t>Brut annuel</t>
  </si>
  <si>
    <t>Double PV</t>
  </si>
  <si>
    <t>Cotisations ONVA</t>
  </si>
  <si>
    <t>PFA</t>
  </si>
  <si>
    <t>ONSS</t>
  </si>
  <si>
    <t>ONSS s/ PFA</t>
  </si>
  <si>
    <t>Assurance-loi</t>
  </si>
  <si>
    <t xml:space="preserve">Médecine 
du travail </t>
  </si>
  <si>
    <t>Km 
dom-trav</t>
  </si>
  <si>
    <t>Nbre jours de travail / semaine</t>
  </si>
  <si>
    <t xml:space="preserve">Intervention dplt dom-trav </t>
  </si>
  <si>
    <t>Déplacements dom-trav transports en commun</t>
  </si>
  <si>
    <t>Coût total</t>
  </si>
  <si>
    <t>Prov. PV</t>
  </si>
  <si>
    <t>Remarques</t>
  </si>
  <si>
    <t>employé-e</t>
  </si>
  <si>
    <t>oui</t>
  </si>
  <si>
    <t>ONE</t>
  </si>
  <si>
    <t>Fonds propres</t>
  </si>
  <si>
    <t>APE</t>
  </si>
  <si>
    <r>
      <rPr>
        <u/>
        <sz val="11"/>
        <color theme="1"/>
        <rFont val="Calibri"/>
        <family val="2"/>
        <scheme val="minor"/>
      </rPr>
      <t>NB</t>
    </r>
    <r>
      <rPr>
        <sz val="11"/>
        <color theme="1"/>
        <rFont val="Calibri"/>
        <family val="2"/>
        <scheme val="minor"/>
      </rPr>
      <t xml:space="preserve"> : 
</t>
    </r>
    <r>
      <rPr>
        <b/>
        <sz val="11"/>
        <color theme="1"/>
        <rFont val="Calibri"/>
        <family val="2"/>
        <scheme val="minor"/>
      </rPr>
      <t>Ancienneté</t>
    </r>
    <r>
      <rPr>
        <sz val="11"/>
        <color theme="1"/>
        <rFont val="Calibri"/>
        <family val="2"/>
        <scheme val="minor"/>
      </rPr>
      <t xml:space="preserve"> : Le calcul de lancienneté reconnue par l'ONE pour le financement de l'emploi peut être différente de l'ancienneté reconnue par l'employeur. Cette différence influencera le delta entre subside et charges.
</t>
    </r>
    <r>
      <rPr>
        <b/>
        <sz val="11"/>
        <color theme="1"/>
        <rFont val="Calibri"/>
        <family val="2"/>
        <scheme val="minor"/>
      </rPr>
      <t/>
    </r>
  </si>
  <si>
    <t>ouvrier-e</t>
  </si>
  <si>
    <t>RECETTES</t>
  </si>
  <si>
    <t>PFP</t>
  </si>
  <si>
    <t>Subsides ONE</t>
  </si>
  <si>
    <t>Subsides infrastructure</t>
  </si>
  <si>
    <t>Subsides provinciaux</t>
  </si>
  <si>
    <t>Subsides communaux</t>
  </si>
  <si>
    <t xml:space="preserve">Montant par jour de présence ? </t>
  </si>
  <si>
    <t>Montant par place ?</t>
  </si>
  <si>
    <t>Montant par jour de présence d'enfants de la commune</t>
  </si>
  <si>
    <t>Taux d'occupation par les enfants de la commune</t>
  </si>
  <si>
    <t>Autres (à renommer)</t>
  </si>
  <si>
    <t>Frais de dplt encadrement PMS</t>
  </si>
  <si>
    <t>SYNTHESE</t>
  </si>
  <si>
    <t>Projet</t>
  </si>
  <si>
    <t>Frais liés au bâtiment</t>
  </si>
  <si>
    <t>total</t>
  </si>
  <si>
    <t>amortissement annuel</t>
  </si>
  <si>
    <t>charge annuelle</t>
  </si>
  <si>
    <t>Amortissement du mobilier</t>
  </si>
  <si>
    <t>Amortissement du matériel</t>
  </si>
  <si>
    <t>Frais de fonctionnement</t>
  </si>
  <si>
    <t>Approvisionnement</t>
  </si>
  <si>
    <t xml:space="preserve">Services et biens divers </t>
  </si>
  <si>
    <t>Taxes</t>
  </si>
  <si>
    <t>Emplois</t>
  </si>
  <si>
    <t>Provision PV (pour les nouveaux engagements)</t>
  </si>
  <si>
    <t xml:space="preserve">Coût annuel du projet </t>
  </si>
  <si>
    <t>Recettes</t>
  </si>
  <si>
    <t>PFP annuelle / place  x  capacité réelle</t>
  </si>
  <si>
    <t>Aides à l'emploi</t>
  </si>
  <si>
    <t>Autres subsides</t>
  </si>
  <si>
    <t>Recettes annuelles du projet</t>
  </si>
  <si>
    <t>ACS</t>
  </si>
  <si>
    <t>ALE</t>
  </si>
  <si>
    <t>Art. 60</t>
  </si>
  <si>
    <t>Barèmes CP 332</t>
  </si>
  <si>
    <t>Version :</t>
  </si>
  <si>
    <t>Index :</t>
  </si>
  <si>
    <t>Fonction</t>
  </si>
  <si>
    <t>Encadrement (PMS)</t>
  </si>
  <si>
    <t xml:space="preserve">Logistique et cuisine </t>
  </si>
  <si>
    <t>Echelle</t>
  </si>
  <si>
    <t>Ouvrier semi-qualifié</t>
  </si>
  <si>
    <t>Ouvrier non qualifié</t>
  </si>
  <si>
    <t>Personnel administratif</t>
  </si>
  <si>
    <t>Code</t>
  </si>
  <si>
    <t>RR3C</t>
  </si>
  <si>
    <t>RR1A</t>
  </si>
  <si>
    <t>RR8H</t>
  </si>
  <si>
    <t>RR7G</t>
  </si>
  <si>
    <t>RR4D</t>
  </si>
  <si>
    <t xml:space="preserve">Ancienneté </t>
  </si>
  <si>
    <t>annuel 
à 100 %</t>
  </si>
  <si>
    <t>annuel indexé</t>
  </si>
  <si>
    <t>mensuel indexé</t>
  </si>
  <si>
    <t>partie fixe</t>
  </si>
  <si>
    <t>partie variable : % du salaire brute d'octobre x 12</t>
  </si>
  <si>
    <t>Normes d'encadrement</t>
  </si>
  <si>
    <t>Capacité</t>
  </si>
  <si>
    <t xml:space="preserve">SUBRÉGIONS </t>
  </si>
  <si>
    <t>BRUXELLES-CAPITALE</t>
  </si>
  <si>
    <t xml:space="preserve">BRABANT WALLON </t>
  </si>
  <si>
    <t>HAINAUT</t>
  </si>
  <si>
    <t>LIÈGE</t>
  </si>
  <si>
    <t xml:space="preserve">LUXEMBOURG </t>
  </si>
  <si>
    <t xml:space="preserve">FÉDÉRATION WALLONIE-BRUXELLES </t>
  </si>
  <si>
    <r>
      <rPr>
        <b/>
        <sz val="11"/>
        <color theme="1"/>
        <rFont val="Calibri"/>
        <family val="2"/>
        <scheme val="minor"/>
      </rPr>
      <t>Provision pour PV</t>
    </r>
    <r>
      <rPr>
        <sz val="11"/>
        <color theme="1"/>
        <rFont val="Calibri"/>
        <family val="2"/>
        <scheme val="minor"/>
      </rPr>
      <t xml:space="preserve"> : Si les travailleuses ne font pas déjà partie du personnel salarié, une provision pour pécule de vacances est à prévoir la première année (18,2 % pour les employé-es, 10,27 % de 108 % de la rémunération brute annuelle pour les ouvier-es) Le mi-temps sur fond propore permet un support lors des moments plus complexes tels que les familiarisations ou la finalisation des repas. En comptabilisant 3,8h par jour principalement de 11 à 14h, cette personne permet également un support afin que les tâches organisationnelles n'impactent pas la quelité du temps de présence auprès des enfants.</t>
    </r>
  </si>
  <si>
    <t>Sacs de couchage d'appoint</t>
  </si>
  <si>
    <t xml:space="preserve">machine à laver </t>
  </si>
  <si>
    <t>sèchoire</t>
  </si>
  <si>
    <t>Bouilloire</t>
  </si>
  <si>
    <t xml:space="preserve">Vaisselles etc. </t>
  </si>
  <si>
    <t>Machine à café</t>
  </si>
  <si>
    <t>Micro onde</t>
  </si>
  <si>
    <t>Dérouleurs papier sanitaire</t>
  </si>
  <si>
    <t xml:space="preserve">Casiers individuels - rangements, porte-manteaux etc. </t>
  </si>
  <si>
    <t xml:space="preserve">! Trésorerie appointements </t>
  </si>
  <si>
    <t xml:space="preserve">3 mois = </t>
  </si>
  <si>
    <t xml:space="preserve"> ! Trésorerie </t>
  </si>
  <si>
    <t>Estimation du financement de l'emploi par l'ONE</t>
  </si>
  <si>
    <r>
      <t xml:space="preserve">communiqué par l'ONE en août 2022 
conf. CP 332 en attente
</t>
    </r>
    <r>
      <rPr>
        <b/>
        <i/>
        <sz val="9"/>
        <color rgb="FFFF0000"/>
        <rFont val="Calibri"/>
        <family val="2"/>
        <scheme val="minor"/>
      </rPr>
      <t xml:space="preserve">à confirmer </t>
    </r>
  </si>
  <si>
    <t>forfait mensuel</t>
  </si>
  <si>
    <t>taux</t>
  </si>
  <si>
    <t>forfait annuel</t>
  </si>
  <si>
    <t xml:space="preserve">forfait mensuel / ETP selon anc. </t>
  </si>
  <si>
    <t xml:space="preserve">forfait mensuel selon ETP et anc. </t>
  </si>
  <si>
    <t>année 1</t>
  </si>
  <si>
    <t>année 2</t>
  </si>
  <si>
    <t>Résultat année 1</t>
  </si>
  <si>
    <t>Résultat année 2</t>
  </si>
  <si>
    <t>prov PV</t>
  </si>
  <si>
    <t xml:space="preserve">Cloture </t>
  </si>
  <si>
    <t>Gaz / Mazout de chauffage</t>
  </si>
  <si>
    <t>Armoires de stockage alimentaire</t>
  </si>
  <si>
    <t xml:space="preserve">Chaises et tables adaptées à l'âge des enfants </t>
  </si>
  <si>
    <t>Barrière</t>
  </si>
  <si>
    <t>Toile solaire</t>
  </si>
  <si>
    <t xml:space="preserve">Plexiglass </t>
  </si>
  <si>
    <t>Parking vélo</t>
  </si>
  <si>
    <t xml:space="preserve">Loyers et charges locatives 
selon partenariat </t>
  </si>
  <si>
    <t xml:space="preserve">Installation internet </t>
  </si>
  <si>
    <t>RC objective</t>
  </si>
  <si>
    <t>ALE - aide préparation repas</t>
  </si>
  <si>
    <t>non</t>
  </si>
  <si>
    <t xml:space="preserve">Capacité </t>
  </si>
  <si>
    <r>
      <t xml:space="preserve">FRAIS D'INVESTISSEMENT
</t>
    </r>
    <r>
      <rPr>
        <i/>
        <sz val="10"/>
        <color theme="1"/>
        <rFont val="Calibri"/>
        <family val="2"/>
        <scheme val="minor"/>
      </rPr>
      <t>(facultatif si MA existant - à évaluer selon les modifications nécessaires)</t>
    </r>
  </si>
  <si>
    <t>Détail</t>
  </si>
  <si>
    <t xml:space="preserve">Forfait frais </t>
  </si>
  <si>
    <t>Forfait frais</t>
  </si>
  <si>
    <t>Tarif 2024
(cat. 4) :</t>
  </si>
  <si>
    <t xml:space="preserve">Aides à l'emploi </t>
  </si>
  <si>
    <t>Plan financier ministructure - Mode d'emploi</t>
  </si>
  <si>
    <r>
      <t xml:space="preserve">PFP moyenne par subrégion
</t>
    </r>
    <r>
      <rPr>
        <b/>
        <sz val="9"/>
        <color theme="1"/>
        <rFont val="Calibri"/>
        <family val="2"/>
        <scheme val="minor"/>
      </rPr>
      <t>RA ONE 2022 - "L'ONE en chiffres"</t>
    </r>
  </si>
  <si>
    <t>Emplois non financés (à définir selon l'organisation du SAE)</t>
  </si>
  <si>
    <r>
      <rPr>
        <b/>
        <sz val="11"/>
        <color theme="1"/>
        <rFont val="Calibri"/>
        <family val="2"/>
        <scheme val="minor"/>
      </rPr>
      <t xml:space="preserve">Pécule de vacances </t>
    </r>
    <r>
      <rPr>
        <sz val="11"/>
        <color theme="1"/>
        <rFont val="Calibri"/>
        <family val="2"/>
        <scheme val="minor"/>
      </rPr>
      <t>: 
employé-e : double PV = salaire brut mensuel x 92 % 
ouvrier-e : simple et double PV = versé par l'ONVA (=&gt; cotisations ONVA)</t>
    </r>
  </si>
  <si>
    <r>
      <rPr>
        <b/>
        <sz val="11"/>
        <color theme="1"/>
        <rFont val="Calibri"/>
        <family val="2"/>
        <scheme val="minor"/>
      </rPr>
      <t>PFA</t>
    </r>
    <r>
      <rPr>
        <sz val="11"/>
        <color theme="1"/>
        <rFont val="Calibri"/>
        <family val="2"/>
        <scheme val="minor"/>
      </rPr>
      <t xml:space="preserve"> = montant forfaitaire + 2,5 % de la rémunération annuelle brute</t>
    </r>
  </si>
  <si>
    <t>intervention kilométrique</t>
  </si>
  <si>
    <t>Ancien-
neté</t>
  </si>
  <si>
    <t>Aide(s) à l'emploi</t>
  </si>
  <si>
    <t>73,11 € / mois / ETP (2019 =&gt; indexation ?)</t>
  </si>
  <si>
    <t>( = emploi + déplacements)</t>
  </si>
  <si>
    <t>15 % du brut annuel des 2 ETP accueil</t>
  </si>
  <si>
    <t>Nbre de jours d'ouverture du MA</t>
  </si>
  <si>
    <t>(365 - 20 VA - 5 VS - 10 fériés) - ouverture 4 jours / 5</t>
  </si>
  <si>
    <t>Taux d'occupation théorique (= contrats d'accueil)</t>
  </si>
  <si>
    <t>Subside basé sur les jours de présences</t>
  </si>
  <si>
    <t xml:space="preserve">Subside basé sur le nombre de places </t>
  </si>
  <si>
    <t xml:space="preserve">Subside forfaitaire annuel </t>
  </si>
  <si>
    <t>Subside basé sur jours de présences des enfants de la commune</t>
  </si>
  <si>
    <t>Les différentes options de partenariat s'additionnent. 
Ne complétez que les champ d'application</t>
  </si>
  <si>
    <t>Autre</t>
  </si>
  <si>
    <t>Honoraires comptables</t>
  </si>
  <si>
    <t>Co-accueil</t>
  </si>
  <si>
    <r>
      <rPr>
        <i/>
        <u/>
        <sz val="10"/>
        <color theme="1"/>
        <rFont val="Calibri"/>
        <family val="2"/>
        <scheme val="minor"/>
      </rPr>
      <t>Forfait</t>
    </r>
    <r>
      <rPr>
        <i/>
        <sz val="10"/>
        <color theme="1"/>
        <rFont val="Calibri"/>
        <family val="2"/>
        <scheme val="minor"/>
      </rPr>
      <t xml:space="preserve"> : 
  - rémunération brute
  - ONSS
  - charges patronales extra-ONSS (2,5 %) (SEPP, sec. social, …)
  - pécule de vacances (fractionné en 12èmes)
  - PFA (+ ONSS) (fractionné de janv. à oct.)
  - forfait remplacement (2,73 %)</t>
    </r>
  </si>
  <si>
    <t>Puéricultrice ou assimilé
(allocation spéciale inclue)</t>
  </si>
  <si>
    <t xml:space="preserve">taux d'occupation </t>
  </si>
  <si>
    <t>forfait frais admin</t>
  </si>
  <si>
    <t>capacité</t>
  </si>
  <si>
    <t xml:space="preserve">jours d'ouverture </t>
  </si>
  <si>
    <t>Emploi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</si>
</sst>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&quot; places&quot;"/>
    <numFmt numFmtId="165" formatCode="0.00&quot; ETP&quot;"/>
    <numFmt numFmtId="166" formatCode="#,##0.00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i/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  <border>
      <left/>
      <right/>
      <top/>
      <bottom style="medium">
        <color rgb="FFFFC000"/>
      </bottom>
      <diagonal/>
    </border>
  </borders>
  <cellStyleXfs count="46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16" applyNumberFormat="0" applyFill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19" applyNumberFormat="0" applyAlignment="0" applyProtection="0"/>
    <xf numFmtId="0" fontId="25" fillId="16" borderId="20" applyNumberFormat="0" applyAlignment="0" applyProtection="0"/>
    <xf numFmtId="0" fontId="26" fillId="16" borderId="19" applyNumberFormat="0" applyAlignment="0" applyProtection="0"/>
    <xf numFmtId="0" fontId="27" fillId="0" borderId="21" applyNumberFormat="0" applyFill="0" applyAlignment="0" applyProtection="0"/>
    <xf numFmtId="0" fontId="14" fillId="17" borderId="22" applyNumberFormat="0" applyAlignment="0" applyProtection="0"/>
    <xf numFmtId="0" fontId="28" fillId="0" borderId="0" applyNumberFormat="0" applyFill="0" applyBorder="0" applyAlignment="0" applyProtection="0"/>
    <xf numFmtId="0" fontId="3" fillId="18" borderId="23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3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0" fillId="42" borderId="0" applyNumberFormat="0" applyBorder="0" applyAlignment="0" applyProtection="0"/>
    <xf numFmtId="0" fontId="31" fillId="0" borderId="0"/>
    <xf numFmtId="0" fontId="32" fillId="0" borderId="0" applyNumberFormat="0" applyFill="0" applyBorder="0" applyAlignment="0" applyProtection="0"/>
    <xf numFmtId="9" fontId="31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1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" fillId="2" borderId="2" xfId="0" applyFont="1" applyFill="1" applyBorder="1" applyAlignment="1">
      <alignment vertical="center"/>
    </xf>
    <xf numFmtId="44" fontId="1" fillId="2" borderId="3" xfId="1" applyFont="1" applyFill="1" applyBorder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1" fillId="3" borderId="2" xfId="0" applyFont="1" applyFill="1" applyBorder="1" applyAlignment="1">
      <alignment vertical="center"/>
    </xf>
    <xf numFmtId="44" fontId="1" fillId="3" borderId="3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44" fontId="9" fillId="0" borderId="4" xfId="1" applyFont="1" applyBorder="1" applyAlignment="1">
      <alignment wrapText="1"/>
    </xf>
    <xf numFmtId="0" fontId="8" fillId="2" borderId="4" xfId="0" applyFont="1" applyFill="1" applyBorder="1" applyAlignment="1">
      <alignment wrapText="1"/>
    </xf>
    <xf numFmtId="44" fontId="8" fillId="2" borderId="4" xfId="0" applyNumberFormat="1" applyFont="1" applyFill="1" applyBorder="1" applyAlignment="1">
      <alignment wrapText="1"/>
    </xf>
    <xf numFmtId="44" fontId="9" fillId="0" borderId="0" xfId="1" applyFont="1"/>
    <xf numFmtId="0" fontId="0" fillId="0" borderId="0" xfId="0" applyAlignment="1">
      <alignment wrapText="1"/>
    </xf>
    <xf numFmtId="0" fontId="0" fillId="2" borderId="5" xfId="0" applyFill="1" applyBorder="1"/>
    <xf numFmtId="0" fontId="0" fillId="2" borderId="3" xfId="0" applyFill="1" applyBorder="1"/>
    <xf numFmtId="0" fontId="0" fillId="3" borderId="5" xfId="0" applyFill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4" fontId="9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9" fillId="4" borderId="4" xfId="0" applyFont="1" applyFill="1" applyBorder="1" applyAlignment="1">
      <alignment wrapText="1"/>
    </xf>
    <xf numFmtId="9" fontId="9" fillId="4" borderId="0" xfId="0" applyNumberFormat="1" applyFont="1" applyFill="1"/>
    <xf numFmtId="44" fontId="0" fillId="2" borderId="3" xfId="1" applyFont="1" applyFill="1" applyBorder="1"/>
    <xf numFmtId="44" fontId="0" fillId="3" borderId="3" xfId="1" applyFont="1" applyFill="1" applyBorder="1"/>
    <xf numFmtId="0" fontId="0" fillId="4" borderId="4" xfId="0" applyFill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 vertical="top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4" fontId="5" fillId="0" borderId="6" xfId="1" applyFont="1" applyBorder="1"/>
    <xf numFmtId="44" fontId="5" fillId="0" borderId="0" xfId="0" applyNumberFormat="1" applyFont="1"/>
    <xf numFmtId="44" fontId="5" fillId="0" borderId="9" xfId="1" applyFont="1" applyBorder="1"/>
    <xf numFmtId="44" fontId="5" fillId="0" borderId="10" xfId="0" applyNumberFormat="1" applyFont="1" applyBorder="1"/>
    <xf numFmtId="0" fontId="11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44" fontId="5" fillId="0" borderId="12" xfId="1" applyFont="1" applyBorder="1"/>
    <xf numFmtId="44" fontId="5" fillId="0" borderId="6" xfId="0" applyNumberFormat="1" applyFont="1" applyBorder="1"/>
    <xf numFmtId="44" fontId="5" fillId="0" borderId="12" xfId="0" applyNumberFormat="1" applyFont="1" applyBorder="1"/>
    <xf numFmtId="44" fontId="5" fillId="5" borderId="6" xfId="1" applyFont="1" applyFill="1" applyBorder="1"/>
    <xf numFmtId="44" fontId="5" fillId="5" borderId="0" xfId="0" applyNumberFormat="1" applyFont="1" applyFill="1"/>
    <xf numFmtId="44" fontId="5" fillId="5" borderId="12" xfId="1" applyFont="1" applyFill="1" applyBorder="1"/>
    <xf numFmtId="44" fontId="5" fillId="0" borderId="9" xfId="0" applyNumberFormat="1" applyFont="1" applyBorder="1"/>
    <xf numFmtId="44" fontId="5" fillId="0" borderId="0" xfId="1" applyFont="1" applyBorder="1"/>
    <xf numFmtId="44" fontId="5" fillId="0" borderId="10" xfId="1" applyFont="1" applyBorder="1"/>
    <xf numFmtId="44" fontId="5" fillId="5" borderId="0" xfId="1" applyFont="1" applyFill="1" applyBorder="1"/>
    <xf numFmtId="0" fontId="11" fillId="0" borderId="13" xfId="0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right" inden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44" fontId="9" fillId="0" borderId="4" xfId="1" applyFont="1" applyFill="1" applyBorder="1" applyAlignment="1">
      <alignment wrapText="1"/>
    </xf>
    <xf numFmtId="165" fontId="0" fillId="0" borderId="0" xfId="0" applyNumberFormat="1"/>
    <xf numFmtId="0" fontId="1" fillId="0" borderId="7" xfId="0" applyFont="1" applyBorder="1" applyAlignment="1">
      <alignment vertical="center"/>
    </xf>
    <xf numFmtId="0" fontId="9" fillId="4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4" fontId="2" fillId="4" borderId="0" xfId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center"/>
    </xf>
    <xf numFmtId="10" fontId="5" fillId="0" borderId="0" xfId="0" applyNumberFormat="1" applyFont="1"/>
    <xf numFmtId="0" fontId="11" fillId="0" borderId="0" xfId="0" applyFont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/>
    <xf numFmtId="0" fontId="0" fillId="0" borderId="4" xfId="0" applyBorder="1"/>
    <xf numFmtId="44" fontId="0" fillId="0" borderId="4" xfId="1" applyFont="1" applyBorder="1"/>
    <xf numFmtId="0" fontId="0" fillId="5" borderId="4" xfId="0" applyFill="1" applyBorder="1"/>
    <xf numFmtId="44" fontId="0" fillId="5" borderId="4" xfId="1" applyFont="1" applyFill="1" applyBorder="1"/>
    <xf numFmtId="44" fontId="0" fillId="2" borderId="3" xfId="0" applyNumberFormat="1" applyFill="1" applyBorder="1"/>
    <xf numFmtId="0" fontId="9" fillId="0" borderId="4" xfId="0" applyFont="1" applyBorder="1" applyAlignment="1">
      <alignment wrapText="1"/>
    </xf>
    <xf numFmtId="0" fontId="14" fillId="11" borderId="2" xfId="0" applyFont="1" applyFill="1" applyBorder="1" applyAlignment="1">
      <alignment vertical="center"/>
    </xf>
    <xf numFmtId="0" fontId="14" fillId="11" borderId="5" xfId="0" applyFont="1" applyFill="1" applyBorder="1"/>
    <xf numFmtId="44" fontId="14" fillId="11" borderId="3" xfId="1" applyFont="1" applyFill="1" applyBorder="1"/>
    <xf numFmtId="9" fontId="9" fillId="0" borderId="0" xfId="0" applyNumberFormat="1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0" fontId="9" fillId="6" borderId="1" xfId="0" applyFont="1" applyFill="1" applyBorder="1" applyAlignment="1">
      <alignment horizontal="left"/>
    </xf>
    <xf numFmtId="0" fontId="9" fillId="6" borderId="1" xfId="0" applyFont="1" applyFill="1" applyBorder="1"/>
    <xf numFmtId="0" fontId="9" fillId="6" borderId="8" xfId="0" applyFont="1" applyFill="1" applyBorder="1"/>
    <xf numFmtId="0" fontId="9" fillId="7" borderId="0" xfId="0" applyFont="1" applyFill="1" applyAlignment="1">
      <alignment horizontal="left"/>
    </xf>
    <xf numFmtId="0" fontId="9" fillId="7" borderId="12" xfId="0" applyFont="1" applyFill="1" applyBorder="1"/>
    <xf numFmtId="0" fontId="9" fillId="4" borderId="1" xfId="0" applyFont="1" applyFill="1" applyBorder="1"/>
    <xf numFmtId="0" fontId="9" fillId="0" borderId="8" xfId="0" applyFont="1" applyBorder="1"/>
    <xf numFmtId="0" fontId="9" fillId="4" borderId="0" xfId="0" applyFont="1" applyFill="1"/>
    <xf numFmtId="0" fontId="9" fillId="0" borderId="12" xfId="0" applyFont="1" applyBorder="1"/>
    <xf numFmtId="0" fontId="9" fillId="4" borderId="10" xfId="0" applyFont="1" applyFill="1" applyBorder="1"/>
    <xf numFmtId="0" fontId="9" fillId="0" borderId="11" xfId="0" applyFont="1" applyBorder="1"/>
    <xf numFmtId="0" fontId="15" fillId="0" borderId="0" xfId="0" applyFont="1"/>
    <xf numFmtId="44" fontId="15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1" fillId="4" borderId="14" xfId="0" applyFont="1" applyFill="1" applyBorder="1" applyAlignment="1">
      <alignment horizontal="left" vertical="center"/>
    </xf>
    <xf numFmtId="44" fontId="9" fillId="0" borderId="4" xfId="1" applyFont="1" applyBorder="1"/>
    <xf numFmtId="0" fontId="1" fillId="2" borderId="7" xfId="0" applyFont="1" applyFill="1" applyBorder="1" applyAlignment="1">
      <alignment vertical="center"/>
    </xf>
    <xf numFmtId="44" fontId="1" fillId="2" borderId="8" xfId="1" applyFont="1" applyFill="1" applyBorder="1" applyAlignment="1">
      <alignment vertical="center"/>
    </xf>
    <xf numFmtId="0" fontId="2" fillId="0" borderId="4" xfId="0" applyFont="1" applyBorder="1" applyAlignment="1" applyProtection="1">
      <alignment horizontal="right" vertical="center"/>
      <protection locked="0"/>
    </xf>
    <xf numFmtId="44" fontId="2" fillId="4" borderId="4" xfId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4" fontId="1" fillId="3" borderId="5" xfId="1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4" xfId="0" applyFont="1" applyBorder="1"/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44" fontId="1" fillId="2" borderId="4" xfId="1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2" fillId="0" borderId="4" xfId="0" applyFont="1" applyBorder="1" applyAlignment="1" applyProtection="1">
      <alignment horizontal="right" vertical="center" wrapText="1"/>
      <protection locked="0"/>
    </xf>
    <xf numFmtId="44" fontId="9" fillId="4" borderId="4" xfId="1" applyFont="1" applyFill="1" applyBorder="1" applyAlignment="1">
      <alignment vertical="center"/>
    </xf>
    <xf numFmtId="0" fontId="34" fillId="0" borderId="4" xfId="0" applyFont="1" applyBorder="1" applyAlignment="1" applyProtection="1">
      <alignment horizontal="left" vertical="center"/>
      <protection locked="0"/>
    </xf>
    <xf numFmtId="44" fontId="8" fillId="0" borderId="4" xfId="1" applyFont="1" applyBorder="1" applyAlignment="1">
      <alignment vertical="center"/>
    </xf>
    <xf numFmtId="44" fontId="9" fillId="0" borderId="4" xfId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4" borderId="4" xfId="1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vertical="center" wrapText="1"/>
    </xf>
    <xf numFmtId="44" fontId="1" fillId="10" borderId="4" xfId="1" applyFont="1" applyFill="1" applyBorder="1"/>
    <xf numFmtId="0" fontId="1" fillId="1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1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6" fontId="9" fillId="0" borderId="0" xfId="0" applyNumberFormat="1" applyFont="1"/>
    <xf numFmtId="0" fontId="10" fillId="2" borderId="1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4" xfId="0" applyFont="1" applyBorder="1" applyAlignment="1">
      <alignment horizontal="left" vertical="center"/>
    </xf>
    <xf numFmtId="0" fontId="9" fillId="0" borderId="27" xfId="0" applyFont="1" applyBorder="1"/>
    <xf numFmtId="0" fontId="35" fillId="0" borderId="10" xfId="0" applyFont="1" applyBorder="1" applyAlignment="1">
      <alignment horizontal="left"/>
    </xf>
    <xf numFmtId="44" fontId="5" fillId="5" borderId="12" xfId="0" applyNumberFormat="1" applyFont="1" applyFill="1" applyBorder="1"/>
    <xf numFmtId="0" fontId="5" fillId="0" borderId="0" xfId="1" applyNumberFormat="1" applyFont="1" applyBorder="1"/>
    <xf numFmtId="44" fontId="9" fillId="4" borderId="4" xfId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7" borderId="4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0" fontId="8" fillId="2" borderId="4" xfId="0" applyFont="1" applyFill="1" applyBorder="1"/>
    <xf numFmtId="44" fontId="8" fillId="2" borderId="4" xfId="1" applyFont="1" applyFill="1" applyBorder="1"/>
    <xf numFmtId="0" fontId="8" fillId="2" borderId="4" xfId="0" applyFont="1" applyFill="1" applyBorder="1" applyAlignment="1">
      <alignment horizontal="center" vertical="center" wrapText="1"/>
    </xf>
    <xf numFmtId="44" fontId="9" fillId="2" borderId="4" xfId="0" applyNumberFormat="1" applyFont="1" applyFill="1" applyBorder="1" applyAlignment="1">
      <alignment wrapText="1"/>
    </xf>
    <xf numFmtId="0" fontId="9" fillId="2" borderId="4" xfId="0" applyFont="1" applyFill="1" applyBorder="1"/>
    <xf numFmtId="44" fontId="9" fillId="2" borderId="4" xfId="0" applyNumberFormat="1" applyFont="1" applyFill="1" applyBorder="1"/>
    <xf numFmtId="44" fontId="8" fillId="0" borderId="4" xfId="1" applyFont="1" applyFill="1" applyBorder="1" applyAlignment="1">
      <alignment vertical="center"/>
    </xf>
    <xf numFmtId="44" fontId="2" fillId="4" borderId="14" xfId="1" applyFont="1" applyFill="1" applyBorder="1" applyAlignment="1" applyProtection="1">
      <alignment vertical="center"/>
      <protection locked="0"/>
    </xf>
    <xf numFmtId="10" fontId="35" fillId="0" borderId="10" xfId="2" applyNumberFormat="1" applyFont="1" applyBorder="1" applyAlignment="1">
      <alignment horizontal="left"/>
    </xf>
    <xf numFmtId="0" fontId="0" fillId="9" borderId="0" xfId="0" applyFill="1" applyAlignment="1">
      <alignment wrapText="1"/>
    </xf>
    <xf numFmtId="2" fontId="9" fillId="4" borderId="4" xfId="0" applyNumberFormat="1" applyFont="1" applyFill="1" applyBorder="1" applyAlignment="1">
      <alignment horizontal="center" wrapText="1"/>
    </xf>
    <xf numFmtId="2" fontId="8" fillId="2" borderId="4" xfId="0" applyNumberFormat="1" applyFont="1" applyFill="1" applyBorder="1" applyAlignment="1">
      <alignment horizontal="center" wrapText="1"/>
    </xf>
    <xf numFmtId="2" fontId="9" fillId="0" borderId="4" xfId="0" applyNumberFormat="1" applyFont="1" applyBorder="1"/>
    <xf numFmtId="2" fontId="9" fillId="0" borderId="14" xfId="0" applyNumberFormat="1" applyFont="1" applyBorder="1"/>
    <xf numFmtId="2" fontId="9" fillId="7" borderId="0" xfId="0" applyNumberFormat="1" applyFont="1" applyFill="1"/>
    <xf numFmtId="44" fontId="5" fillId="0" borderId="0" xfId="1" applyFont="1" applyFill="1" applyBorder="1"/>
    <xf numFmtId="0" fontId="5" fillId="0" borderId="0" xfId="1" applyNumberFormat="1" applyFont="1" applyFill="1" applyBorder="1" applyAlignment="1">
      <alignment vertical="center"/>
    </xf>
    <xf numFmtId="166" fontId="5" fillId="0" borderId="0" xfId="1" applyNumberFormat="1" applyFont="1" applyFill="1" applyBorder="1" applyAlignment="1">
      <alignment vertical="center"/>
    </xf>
    <xf numFmtId="0" fontId="9" fillId="4" borderId="15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4" borderId="4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wrapText="1"/>
    </xf>
    <xf numFmtId="9" fontId="9" fillId="0" borderId="4" xfId="2" applyFont="1" applyBorder="1"/>
    <xf numFmtId="9" fontId="9" fillId="0" borderId="4" xfId="2" applyFont="1" applyBorder="1" applyAlignment="1">
      <alignment horizontal="right"/>
    </xf>
    <xf numFmtId="44" fontId="1" fillId="0" borderId="3" xfId="1" applyFont="1" applyFill="1" applyBorder="1" applyAlignment="1">
      <alignment vertical="center"/>
    </xf>
    <xf numFmtId="0" fontId="9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/>
    </xf>
    <xf numFmtId="44" fontId="1" fillId="0" borderId="4" xfId="1" applyFont="1" applyBorder="1" applyAlignment="1">
      <alignment horizontal="right"/>
    </xf>
    <xf numFmtId="44" fontId="1" fillId="0" borderId="4" xfId="1" applyFont="1" applyBorder="1"/>
    <xf numFmtId="44" fontId="5" fillId="0" borderId="11" xfId="1" applyFont="1" applyBorder="1"/>
    <xf numFmtId="0" fontId="9" fillId="0" borderId="0" xfId="0" applyFont="1" applyAlignment="1">
      <alignment horizontal="left" vertical="center" wrapText="1"/>
    </xf>
    <xf numFmtId="9" fontId="9" fillId="0" borderId="4" xfId="0" applyNumberFormat="1" applyFont="1" applyBorder="1"/>
    <xf numFmtId="0" fontId="0" fillId="0" borderId="5" xfId="0" applyBorder="1" applyAlignment="1">
      <alignment wrapText="1"/>
    </xf>
    <xf numFmtId="44" fontId="0" fillId="0" borderId="5" xfId="1" applyFont="1" applyFill="1" applyBorder="1" applyAlignment="1">
      <alignment vertical="center"/>
    </xf>
    <xf numFmtId="0" fontId="1" fillId="0" borderId="4" xfId="0" applyFont="1" applyBorder="1" applyAlignment="1">
      <alignment wrapText="1"/>
    </xf>
    <xf numFmtId="44" fontId="1" fillId="0" borderId="4" xfId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5" fillId="0" borderId="1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1" fillId="0" borderId="2" xfId="1" applyFont="1" applyFill="1" applyBorder="1" applyAlignment="1">
      <alignment horizontal="center" vertical="center"/>
    </xf>
    <xf numFmtId="44" fontId="1" fillId="0" borderId="3" xfId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4" fontId="9" fillId="0" borderId="30" xfId="0" applyNumberFormat="1" applyFont="1" applyBorder="1" applyAlignment="1">
      <alignment horizontal="center"/>
    </xf>
    <xf numFmtId="44" fontId="9" fillId="0" borderId="28" xfId="0" applyNumberFormat="1" applyFont="1" applyBorder="1" applyAlignment="1">
      <alignment horizontal="center"/>
    </xf>
    <xf numFmtId="0" fontId="9" fillId="9" borderId="2" xfId="0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left" vertical="center" wrapText="1"/>
    </xf>
    <xf numFmtId="0" fontId="9" fillId="9" borderId="3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14" fontId="1" fillId="0" borderId="7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1" fillId="6" borderId="7" xfId="0" applyNumberFormat="1" applyFont="1" applyFill="1" applyBorder="1" applyAlignment="1">
      <alignment horizontal="center"/>
    </xf>
    <xf numFmtId="14" fontId="1" fillId="6" borderId="1" xfId="0" applyNumberFormat="1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horizontal="center" vertical="top" wrapText="1"/>
    </xf>
    <xf numFmtId="14" fontId="1" fillId="8" borderId="7" xfId="0" applyNumberFormat="1" applyFont="1" applyFill="1" applyBorder="1" applyAlignment="1">
      <alignment horizontal="center"/>
    </xf>
    <xf numFmtId="14" fontId="1" fillId="8" borderId="1" xfId="0" applyNumberFormat="1" applyFont="1" applyFill="1" applyBorder="1" applyAlignment="1">
      <alignment horizontal="center"/>
    </xf>
    <xf numFmtId="14" fontId="1" fillId="8" borderId="8" xfId="0" applyNumberFormat="1" applyFont="1" applyFill="1" applyBorder="1" applyAlignment="1">
      <alignment horizontal="center"/>
    </xf>
    <xf numFmtId="0" fontId="11" fillId="8" borderId="9" xfId="0" applyFont="1" applyFill="1" applyBorder="1" applyAlignment="1">
      <alignment horizontal="center" vertical="top" wrapText="1"/>
    </xf>
    <xf numFmtId="0" fontId="11" fillId="8" borderId="10" xfId="0" applyFont="1" applyFill="1" applyBorder="1" applyAlignment="1">
      <alignment horizontal="center" vertical="top" wrapText="1"/>
    </xf>
    <xf numFmtId="0" fontId="11" fillId="8" borderId="11" xfId="0" applyFont="1" applyFill="1" applyBorder="1" applyAlignment="1">
      <alignment horizontal="center" vertical="top" wrapText="1"/>
    </xf>
    <xf numFmtId="14" fontId="1" fillId="7" borderId="7" xfId="0" applyNumberFormat="1" applyFont="1" applyFill="1" applyBorder="1" applyAlignment="1">
      <alignment horizontal="center"/>
    </xf>
    <xf numFmtId="14" fontId="1" fillId="7" borderId="1" xfId="0" applyNumberFormat="1" applyFont="1" applyFill="1" applyBorder="1" applyAlignment="1">
      <alignment horizontal="center"/>
    </xf>
    <xf numFmtId="14" fontId="1" fillId="7" borderId="8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 vertical="top" wrapText="1"/>
    </xf>
    <xf numFmtId="0" fontId="11" fillId="7" borderId="10" xfId="0" applyFont="1" applyFill="1" applyBorder="1" applyAlignment="1">
      <alignment horizontal="center" vertical="top" wrapText="1"/>
    </xf>
    <xf numFmtId="0" fontId="11" fillId="7" borderId="11" xfId="0" applyFont="1" applyFill="1" applyBorder="1" applyAlignment="1">
      <alignment horizontal="center" vertical="top" wrapText="1"/>
    </xf>
    <xf numFmtId="14" fontId="35" fillId="0" borderId="0" xfId="0" applyNumberFormat="1" applyFont="1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6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3" xr:uid="{00000000-0005-0000-0000-000020000000}"/>
    <cellStyle name="Note" xfId="16" builtinId="10" customBuiltin="1"/>
    <cellStyle name="Pourcentage" xfId="2" builtinId="5"/>
    <cellStyle name="Pourcentage 2" xfId="45" xr:uid="{00000000-0005-0000-0000-000023000000}"/>
    <cellStyle name="Satisfaisant" xfId="7" builtinId="26" customBuiltin="1"/>
    <cellStyle name="Sortie" xfId="11" builtinId="21" customBuiltin="1"/>
    <cellStyle name="Texte explicatif" xfId="17" builtinId="53" customBuiltin="1"/>
    <cellStyle name="Titre 2" xfId="44" xr:uid="{00000000-0005-0000-0000-000027000000}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4">
    <dxf>
      <fill>
        <patternFill patternType="lightUp">
          <fgColor theme="0" tint="-0.24994659260841701"/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120960</xdr:colOff>
      <xdr:row>6</xdr:row>
      <xdr:rowOff>260047</xdr:rowOff>
    </xdr:from>
    <xdr:to>
      <xdr:col>0</xdr:col>
      <xdr:colOff>5161111</xdr:colOff>
      <xdr:row>6</xdr:row>
      <xdr:rowOff>2168047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479" t="18354" r="24151" b="67806"/>
        <a:stretch/>
      </xdr:blipFill>
      <xdr:spPr>
        <a:xfrm>
          <a:off x="120960" y="1651000"/>
          <a:ext cx="5259226" cy="19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7</xdr:row>
      <xdr:rowOff>292706</xdr:rowOff>
    </xdr:from>
    <xdr:to>
      <xdr:col>1</xdr:col>
      <xdr:colOff>1057</xdr:colOff>
      <xdr:row>7</xdr:row>
      <xdr:rowOff>3582610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2571" t="18174" r="24477" b="57895"/>
        <a:stretch/>
      </xdr:blipFill>
      <xdr:spPr>
        <a:xfrm>
          <a:off x="127000" y="4018039"/>
          <a:ext cx="5122332" cy="3289904"/>
        </a:xfrm>
        <a:prstGeom prst="rect">
          <a:avLst/>
        </a:prstGeom>
      </xdr:spPr>
    </xdr:pic>
    <xdr:clientData/>
  </xdr:twoCellAnchor>
  <xdr:twoCellAnchor editAs="oneCell">
    <xdr:from>
      <xdr:col>0</xdr:col>
      <xdr:colOff>114906</xdr:colOff>
      <xdr:row>8</xdr:row>
      <xdr:rowOff>580572</xdr:rowOff>
    </xdr:from>
    <xdr:to>
      <xdr:col>0</xdr:col>
      <xdr:colOff>5161038</xdr:colOff>
      <xdr:row>8</xdr:row>
      <xdr:rowOff>2044096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2542" t="16143" r="24521" b="73343"/>
        <a:stretch/>
      </xdr:blipFill>
      <xdr:spPr>
        <a:xfrm>
          <a:off x="114906" y="8043333"/>
          <a:ext cx="5122332" cy="1463524"/>
        </a:xfrm>
        <a:prstGeom prst="rect">
          <a:avLst/>
        </a:prstGeom>
      </xdr:spPr>
    </xdr:pic>
    <xdr:clientData/>
  </xdr:twoCellAnchor>
  <xdr:twoCellAnchor editAs="oneCell">
    <xdr:from>
      <xdr:col>0</xdr:col>
      <xdr:colOff>72571</xdr:colOff>
      <xdr:row>8</xdr:row>
      <xdr:rowOff>2146906</xdr:rowOff>
    </xdr:from>
    <xdr:to>
      <xdr:col>0</xdr:col>
      <xdr:colOff>5159470</xdr:colOff>
      <xdr:row>8</xdr:row>
      <xdr:rowOff>3580191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2411" t="15576" r="23963" b="73723"/>
        <a:stretch/>
      </xdr:blipFill>
      <xdr:spPr>
        <a:xfrm>
          <a:off x="72571" y="9609667"/>
          <a:ext cx="5191674" cy="14332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Odile Lejoly" id="{439CBCDC-6099-4503-AAE4-81D63885BCEE}" userId="S::administration-finances-fsmi@viefeminine.be::c9ae868c-6347-4add-a8f6-3540b26ac6d6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11" dT="2024-01-25T07:03:13.82" personId="{439CBCDC-6099-4503-AAE4-81D63885BCEE}" id="{660222F0-B4F5-4600-8E8C-61EC3F3FC3C2}">
    <text>Exemple : 
Maribel pour l'encadrement pour augmenter le temps d'encadrement au-delà du financement ONE
APE pour l'entretien ou le support admin 
Etc.</text>
  </threadedComment>
  <threadedComment ref="P15" dT="2024-01-25T06:59:48.97" personId="{439CBCDC-6099-4503-AAE4-81D63885BCEE}" id="{AA33E663-0ACF-4422-B05E-75E725FACA87}">
    <text>Coût proratisé selon le temps en travail en raison du temps de travail supplémentaire affecté à d'autres missions dans le SAE.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4" dT="2024-01-25T07:22:27.93" personId="{439CBCDC-6099-4503-AAE4-81D63885BCEE}" id="{9C9B6455-3005-47FA-90FB-97D5F20A61B4}">
    <text xml:space="preserve">Amortissement en 5 ans 
% à adapter selon la durée de l'amortissement
</text>
  </threadedComment>
  <threadedComment ref="C15" dT="2024-01-25T07:22:47.52" personId="{439CBCDC-6099-4503-AAE4-81D63885BCEE}" id="{6FFE2AE3-40A5-4C76-8694-551B451F0D2C}">
    <text xml:space="preserve">Amortissement en 3 ans 
À adapter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Normal="100" workbookViewId="0">
      <selection activeCell="A2" sqref="A2"/>
    </sheetView>
  </sheetViews>
  <sheetFormatPr baseColWidth="10" defaultColWidth="11.42578125" defaultRowHeight="15" x14ac:dyDescent="0.25"/>
  <cols>
    <col min="1" max="1" width="77.42578125" customWidth="1"/>
  </cols>
  <sheetData>
    <row r="1" spans="1:1" s="29" customFormat="1" ht="29.45" customHeight="1" x14ac:dyDescent="0.25">
      <c r="A1" s="30" t="s">
        <v>279</v>
      </c>
    </row>
    <row r="2" spans="1:1" s="29" customFormat="1" ht="29.45" customHeight="1" x14ac:dyDescent="0.25">
      <c r="A2" s="28" t="s">
        <v>0</v>
      </c>
    </row>
    <row r="3" spans="1:1" s="31" customFormat="1" ht="22.35" customHeight="1" x14ac:dyDescent="0.25">
      <c r="A3" s="28" t="s">
        <v>1</v>
      </c>
    </row>
    <row r="4" spans="1:1" s="31" customFormat="1" ht="22.35" customHeight="1" x14ac:dyDescent="0.25">
      <c r="A4" s="31" t="s">
        <v>2</v>
      </c>
    </row>
    <row r="5" spans="1:1" s="31" customFormat="1" ht="22.35" customHeight="1" x14ac:dyDescent="0.25">
      <c r="A5" s="31" t="s">
        <v>3</v>
      </c>
    </row>
    <row r="6" spans="1:1" s="31" customFormat="1" x14ac:dyDescent="0.25">
      <c r="A6" s="31" t="s">
        <v>4</v>
      </c>
    </row>
    <row r="7" spans="1:1" ht="183.75" customHeight="1" x14ac:dyDescent="0.25">
      <c r="A7" s="31" t="s">
        <v>5</v>
      </c>
    </row>
    <row r="8" spans="1:1" ht="294.60000000000002" customHeight="1" x14ac:dyDescent="0.25">
      <c r="A8" s="31" t="s">
        <v>6</v>
      </c>
    </row>
    <row r="9" spans="1:1" ht="298.5" customHeight="1" x14ac:dyDescent="0.25">
      <c r="A9" s="31" t="s">
        <v>7</v>
      </c>
    </row>
    <row r="10" spans="1:1" x14ac:dyDescent="0.25">
      <c r="A10" s="3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  <pageSetUpPr fitToPage="1"/>
  </sheetPr>
  <dimension ref="A1:Y69"/>
  <sheetViews>
    <sheetView topLeftCell="A2" zoomScale="110" zoomScaleNormal="110" workbookViewId="0">
      <selection activeCell="B34" sqref="B34"/>
    </sheetView>
  </sheetViews>
  <sheetFormatPr baseColWidth="10" defaultColWidth="11.42578125" defaultRowHeight="15" x14ac:dyDescent="0.25"/>
  <cols>
    <col min="1" max="1" width="9.28515625" customWidth="1"/>
    <col min="2" max="4" width="9.42578125" customWidth="1"/>
    <col min="5" max="5" width="4" bestFit="1" customWidth="1"/>
    <col min="6" max="9" width="9.42578125" customWidth="1"/>
    <col min="10" max="10" width="4" bestFit="1" customWidth="1"/>
    <col min="11" max="11" width="9.42578125" customWidth="1"/>
    <col min="12" max="14" width="9.42578125" hidden="1" customWidth="1"/>
    <col min="15" max="15" width="4" hidden="1" customWidth="1"/>
    <col min="16" max="16" width="9.42578125" hidden="1" customWidth="1"/>
    <col min="17" max="25" width="9.42578125" customWidth="1"/>
  </cols>
  <sheetData>
    <row r="1" spans="1:25" ht="31.5" customHeight="1" x14ac:dyDescent="0.25">
      <c r="A1" s="234" t="s">
        <v>203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6"/>
    </row>
    <row r="2" spans="1:25" s="12" customFormat="1" ht="12.75" x14ac:dyDescent="0.2">
      <c r="A2" s="66" t="s">
        <v>204</v>
      </c>
      <c r="B2" s="256">
        <v>45413</v>
      </c>
      <c r="C2" s="256"/>
      <c r="D2" s="66" t="s">
        <v>205</v>
      </c>
      <c r="E2" s="66"/>
      <c r="F2" s="66"/>
      <c r="G2" s="150">
        <v>2.0807000000000002</v>
      </c>
      <c r="H2" s="165">
        <v>2.0807000000000002</v>
      </c>
      <c r="I2" s="27"/>
      <c r="J2" s="27"/>
      <c r="K2" s="27"/>
    </row>
    <row r="3" spans="1:25" ht="17.850000000000001" customHeight="1" x14ac:dyDescent="0.25">
      <c r="A3" s="41" t="s">
        <v>206</v>
      </c>
      <c r="B3" s="240" t="s">
        <v>128</v>
      </c>
      <c r="C3" s="241"/>
      <c r="D3" s="241"/>
      <c r="E3" s="241"/>
      <c r="F3" s="241"/>
      <c r="G3" s="250" t="s">
        <v>207</v>
      </c>
      <c r="H3" s="251"/>
      <c r="I3" s="251"/>
      <c r="J3" s="251"/>
      <c r="K3" s="252"/>
      <c r="L3" s="244" t="s">
        <v>131</v>
      </c>
      <c r="M3" s="245"/>
      <c r="N3" s="245"/>
      <c r="O3" s="245"/>
      <c r="P3" s="246"/>
      <c r="Q3" s="226" t="s">
        <v>208</v>
      </c>
      <c r="R3" s="226"/>
      <c r="S3" s="227"/>
      <c r="T3" s="225" t="s">
        <v>133</v>
      </c>
      <c r="U3" s="226"/>
      <c r="V3" s="227"/>
      <c r="W3" s="225" t="s">
        <v>134</v>
      </c>
      <c r="X3" s="226"/>
      <c r="Y3" s="227"/>
    </row>
    <row r="4" spans="1:25" ht="24.6" customHeight="1" x14ac:dyDescent="0.25">
      <c r="A4" s="42" t="s">
        <v>209</v>
      </c>
      <c r="B4" s="242" t="s">
        <v>302</v>
      </c>
      <c r="C4" s="243"/>
      <c r="D4" s="243"/>
      <c r="E4" s="243"/>
      <c r="F4" s="243"/>
      <c r="G4" s="253"/>
      <c r="H4" s="254"/>
      <c r="I4" s="254"/>
      <c r="J4" s="254"/>
      <c r="K4" s="255"/>
      <c r="L4" s="247" t="s">
        <v>248</v>
      </c>
      <c r="M4" s="248"/>
      <c r="N4" s="248"/>
      <c r="O4" s="248"/>
      <c r="P4" s="249"/>
      <c r="Q4" s="229" t="s">
        <v>210</v>
      </c>
      <c r="R4" s="229"/>
      <c r="S4" s="230"/>
      <c r="T4" s="228" t="s">
        <v>211</v>
      </c>
      <c r="U4" s="229"/>
      <c r="V4" s="230"/>
      <c r="W4" s="228" t="s">
        <v>212</v>
      </c>
      <c r="X4" s="229"/>
      <c r="Y4" s="230"/>
    </row>
    <row r="5" spans="1:25" s="40" customFormat="1" ht="12" x14ac:dyDescent="0.2">
      <c r="A5" s="62" t="s">
        <v>213</v>
      </c>
      <c r="B5" s="237" t="s">
        <v>214</v>
      </c>
      <c r="C5" s="238"/>
      <c r="D5" s="239"/>
      <c r="E5" s="140"/>
      <c r="F5" s="140"/>
      <c r="G5" s="231" t="s">
        <v>215</v>
      </c>
      <c r="H5" s="232"/>
      <c r="I5" s="233"/>
      <c r="J5" s="140"/>
      <c r="K5" s="140"/>
      <c r="L5" s="237"/>
      <c r="M5" s="238"/>
      <c r="N5" s="239"/>
      <c r="O5" s="140"/>
      <c r="P5" s="145"/>
      <c r="Q5" s="231" t="s">
        <v>216</v>
      </c>
      <c r="R5" s="232"/>
      <c r="S5" s="233"/>
      <c r="T5" s="231" t="s">
        <v>217</v>
      </c>
      <c r="U5" s="232"/>
      <c r="V5" s="233"/>
      <c r="W5" s="231" t="s">
        <v>218</v>
      </c>
      <c r="X5" s="232"/>
      <c r="Y5" s="233"/>
    </row>
    <row r="6" spans="1:25" s="40" customFormat="1" ht="24" x14ac:dyDescent="0.2">
      <c r="A6" s="49" t="s">
        <v>219</v>
      </c>
      <c r="B6" s="43" t="s">
        <v>220</v>
      </c>
      <c r="C6" s="39" t="s">
        <v>221</v>
      </c>
      <c r="D6" s="44" t="s">
        <v>222</v>
      </c>
      <c r="E6" s="39" t="s">
        <v>250</v>
      </c>
      <c r="F6" s="39" t="s">
        <v>249</v>
      </c>
      <c r="G6" s="43" t="s">
        <v>220</v>
      </c>
      <c r="H6" s="39" t="s">
        <v>221</v>
      </c>
      <c r="I6" s="44" t="s">
        <v>222</v>
      </c>
      <c r="J6" s="39" t="s">
        <v>250</v>
      </c>
      <c r="K6" s="39" t="s">
        <v>249</v>
      </c>
      <c r="L6" s="43" t="s">
        <v>220</v>
      </c>
      <c r="M6" s="39" t="s">
        <v>221</v>
      </c>
      <c r="N6" s="44" t="s">
        <v>222</v>
      </c>
      <c r="O6" s="39" t="s">
        <v>250</v>
      </c>
      <c r="P6" s="44" t="s">
        <v>249</v>
      </c>
      <c r="Q6" s="43" t="s">
        <v>220</v>
      </c>
      <c r="R6" s="39" t="s">
        <v>221</v>
      </c>
      <c r="S6" s="44" t="s">
        <v>222</v>
      </c>
      <c r="T6" s="43" t="s">
        <v>220</v>
      </c>
      <c r="U6" s="39" t="s">
        <v>221</v>
      </c>
      <c r="V6" s="44" t="s">
        <v>222</v>
      </c>
      <c r="W6" s="43" t="s">
        <v>220</v>
      </c>
      <c r="X6" s="39" t="s">
        <v>221</v>
      </c>
      <c r="Y6" s="44" t="s">
        <v>222</v>
      </c>
    </row>
    <row r="7" spans="1:25" s="40" customFormat="1" ht="12" x14ac:dyDescent="0.2">
      <c r="A7" s="50">
        <v>0</v>
      </c>
      <c r="B7" s="45">
        <v>14905.285440000001</v>
      </c>
      <c r="C7" s="46">
        <f>B7*$H$2</f>
        <v>31013.427415008005</v>
      </c>
      <c r="D7" s="52">
        <f>C7/12</f>
        <v>2584.4522845840006</v>
      </c>
      <c r="E7" s="152">
        <v>1.56</v>
      </c>
      <c r="F7" s="59">
        <f>D7*E7</f>
        <v>4031.7455639510413</v>
      </c>
      <c r="G7" s="45">
        <v>17305.48</v>
      </c>
      <c r="H7" s="46">
        <f>G7*$H$2</f>
        <v>36007.512236000002</v>
      </c>
      <c r="I7" s="52">
        <f>H7/12</f>
        <v>3000.6260196666667</v>
      </c>
      <c r="J7" s="152">
        <v>1.56</v>
      </c>
      <c r="K7" s="59">
        <f>I7*J7</f>
        <v>4680.9765906800003</v>
      </c>
      <c r="L7" s="45">
        <v>19817.29</v>
      </c>
      <c r="M7" s="46">
        <f>L7*$H$2</f>
        <v>41233.835303000007</v>
      </c>
      <c r="N7" s="54">
        <f>M7/12</f>
        <v>3436.1529419166673</v>
      </c>
      <c r="O7" s="152">
        <v>1.56</v>
      </c>
      <c r="P7" s="59">
        <f>N7*O7</f>
        <v>5360.3985893900008</v>
      </c>
      <c r="Q7" s="53">
        <v>12536.010732000002</v>
      </c>
      <c r="R7" s="46">
        <f t="shared" ref="R7:R36" si="0">Q7*$H$2</f>
        <v>26083.677530072408</v>
      </c>
      <c r="S7" s="54">
        <f>R7/12</f>
        <v>2173.6397941727005</v>
      </c>
      <c r="T7" s="53">
        <v>12342.547176</v>
      </c>
      <c r="U7" s="46">
        <f t="shared" ref="U7:U34" si="1">T7*$H$2</f>
        <v>25681.137909103203</v>
      </c>
      <c r="V7" s="54">
        <f>U7/12</f>
        <v>2140.0948257586001</v>
      </c>
      <c r="W7" s="53">
        <v>13738.854567999997</v>
      </c>
      <c r="X7" s="46">
        <f t="shared" ref="X7:X36" si="2">W7*$H$2</f>
        <v>28586.434699637597</v>
      </c>
      <c r="Y7" s="54">
        <f>X7/12</f>
        <v>2382.2028916364666</v>
      </c>
    </row>
    <row r="8" spans="1:25" s="40" customFormat="1" ht="12" x14ac:dyDescent="0.2">
      <c r="A8" s="50">
        <v>1</v>
      </c>
      <c r="B8" s="45">
        <v>15939.200288</v>
      </c>
      <c r="C8" s="46">
        <f t="shared" ref="C8:C38" si="3">B8*$H$2</f>
        <v>33164.6940392416</v>
      </c>
      <c r="D8" s="52">
        <f t="shared" ref="D8:D47" si="4">C8/12</f>
        <v>2763.7245032701335</v>
      </c>
      <c r="E8" s="152">
        <v>1.56</v>
      </c>
      <c r="F8" s="59">
        <f t="shared" ref="F8:F47" si="5">D8*E8</f>
        <v>4311.4102251014083</v>
      </c>
      <c r="G8" s="45">
        <v>17811.891391999998</v>
      </c>
      <c r="H8" s="46">
        <f t="shared" ref="H8:H36" si="6">G8*$H$2</f>
        <v>37061.202419334397</v>
      </c>
      <c r="I8" s="52">
        <f t="shared" ref="I8:I47" si="7">H8/12</f>
        <v>3088.4335349445332</v>
      </c>
      <c r="J8" s="152">
        <v>1.56</v>
      </c>
      <c r="K8" s="59">
        <f t="shared" ref="K8:K47" si="8">I8*J8</f>
        <v>4817.9563145134716</v>
      </c>
      <c r="L8" s="45">
        <v>20788.25</v>
      </c>
      <c r="M8" s="46">
        <f t="shared" ref="M8:M47" si="9">L8*$H$2</f>
        <v>43254.111775000005</v>
      </c>
      <c r="N8" s="54">
        <f t="shared" ref="N8:N47" si="10">M8/12</f>
        <v>3604.5093145833339</v>
      </c>
      <c r="O8" s="152">
        <v>1.56</v>
      </c>
      <c r="P8" s="59">
        <f t="shared" ref="P8:P47" si="11">N8*O8</f>
        <v>5623.0345307500011</v>
      </c>
      <c r="Q8" s="53">
        <v>13572.99192</v>
      </c>
      <c r="R8" s="46">
        <f t="shared" si="0"/>
        <v>28241.324287944004</v>
      </c>
      <c r="S8" s="54">
        <f t="shared" ref="S8:S47" si="12">R8/12</f>
        <v>2353.4436906620003</v>
      </c>
      <c r="T8" s="53">
        <v>13334.968895999998</v>
      </c>
      <c r="U8" s="46">
        <f t="shared" si="1"/>
        <v>27746.069781907201</v>
      </c>
      <c r="V8" s="54">
        <f t="shared" ref="V8:V47" si="13">U8/12</f>
        <v>2312.1724818256002</v>
      </c>
      <c r="W8" s="53">
        <v>14895.826119999998</v>
      </c>
      <c r="X8" s="46">
        <f t="shared" si="2"/>
        <v>30993.745407883998</v>
      </c>
      <c r="Y8" s="54">
        <f t="shared" ref="Y8:Y47" si="14">X8/12</f>
        <v>2582.8121173236664</v>
      </c>
    </row>
    <row r="9" spans="1:25" s="40" customFormat="1" ht="12" x14ac:dyDescent="0.2">
      <c r="A9" s="50">
        <v>2</v>
      </c>
      <c r="B9" s="45">
        <v>16079.660600000003</v>
      </c>
      <c r="C9" s="46">
        <f t="shared" si="3"/>
        <v>33456.94981042001</v>
      </c>
      <c r="D9" s="52">
        <f t="shared" si="4"/>
        <v>2788.0791508683342</v>
      </c>
      <c r="E9" s="152">
        <v>1.56</v>
      </c>
      <c r="F9" s="59">
        <f t="shared" si="5"/>
        <v>4349.4034753546011</v>
      </c>
      <c r="G9" s="45">
        <v>17879.54</v>
      </c>
      <c r="H9" s="46">
        <f t="shared" si="6"/>
        <v>37201.958878000005</v>
      </c>
      <c r="I9" s="52">
        <f t="shared" si="7"/>
        <v>3100.1632398333336</v>
      </c>
      <c r="J9" s="152">
        <v>1.56</v>
      </c>
      <c r="K9" s="59">
        <f t="shared" si="8"/>
        <v>4836.2546541400006</v>
      </c>
      <c r="L9" s="45">
        <v>20788.25</v>
      </c>
      <c r="M9" s="46">
        <f t="shared" si="9"/>
        <v>43254.111775000005</v>
      </c>
      <c r="N9" s="54">
        <f t="shared" si="10"/>
        <v>3604.5093145833339</v>
      </c>
      <c r="O9" s="152">
        <v>1.56</v>
      </c>
      <c r="P9" s="59">
        <f t="shared" si="11"/>
        <v>5623.0345307500011</v>
      </c>
      <c r="Q9" s="53">
        <v>13702.564180000001</v>
      </c>
      <c r="R9" s="46">
        <f t="shared" si="0"/>
        <v>28510.925289326005</v>
      </c>
      <c r="S9" s="54">
        <f t="shared" si="12"/>
        <v>2375.910440777167</v>
      </c>
      <c r="T9" s="53">
        <v>13405.0304</v>
      </c>
      <c r="U9" s="46">
        <f t="shared" si="1"/>
        <v>27891.846753280002</v>
      </c>
      <c r="V9" s="54">
        <f t="shared" si="13"/>
        <v>2324.3205627733337</v>
      </c>
      <c r="W9" s="53">
        <v>15024.697187999998</v>
      </c>
      <c r="X9" s="46">
        <f t="shared" si="2"/>
        <v>31261.887439071601</v>
      </c>
      <c r="Y9" s="54">
        <f t="shared" si="14"/>
        <v>2605.1572865892999</v>
      </c>
    </row>
    <row r="10" spans="1:25" s="40" customFormat="1" ht="12" x14ac:dyDescent="0.2">
      <c r="A10" s="50">
        <v>3</v>
      </c>
      <c r="B10" s="45">
        <v>16220.073300000004</v>
      </c>
      <c r="C10" s="46">
        <f t="shared" si="3"/>
        <v>33749.106515310013</v>
      </c>
      <c r="D10" s="52">
        <f t="shared" si="4"/>
        <v>2812.4255429425011</v>
      </c>
      <c r="E10" s="152">
        <v>1.56</v>
      </c>
      <c r="F10" s="59">
        <f t="shared" si="5"/>
        <v>4387.3838469903021</v>
      </c>
      <c r="G10" s="45">
        <v>18718.5</v>
      </c>
      <c r="H10" s="46">
        <f t="shared" si="6"/>
        <v>38947.582950000004</v>
      </c>
      <c r="I10" s="52">
        <f t="shared" si="7"/>
        <v>3245.6319125000005</v>
      </c>
      <c r="J10" s="152">
        <v>1.56</v>
      </c>
      <c r="K10" s="59">
        <f t="shared" si="8"/>
        <v>5063.185783500001</v>
      </c>
      <c r="L10" s="45">
        <v>21657.99</v>
      </c>
      <c r="M10" s="46">
        <f t="shared" si="9"/>
        <v>45063.779793000009</v>
      </c>
      <c r="N10" s="54">
        <f t="shared" si="10"/>
        <v>3755.3149827500006</v>
      </c>
      <c r="O10" s="152">
        <v>1.56</v>
      </c>
      <c r="P10" s="59">
        <f t="shared" si="11"/>
        <v>5858.2913730900009</v>
      </c>
      <c r="Q10" s="53">
        <v>13832.138828000001</v>
      </c>
      <c r="R10" s="46">
        <f t="shared" si="0"/>
        <v>28780.531259419604</v>
      </c>
      <c r="S10" s="54">
        <f t="shared" si="12"/>
        <v>2398.3776049516337</v>
      </c>
      <c r="T10" s="53">
        <v>13475.071903999997</v>
      </c>
      <c r="U10" s="46">
        <f t="shared" si="1"/>
        <v>28037.582110652795</v>
      </c>
      <c r="V10" s="54">
        <f t="shared" si="13"/>
        <v>2336.465175887733</v>
      </c>
      <c r="W10" s="53">
        <v>15153.535867999999</v>
      </c>
      <c r="X10" s="46">
        <f t="shared" si="2"/>
        <v>31529.962080547601</v>
      </c>
      <c r="Y10" s="54">
        <f t="shared" si="14"/>
        <v>2627.4968400456332</v>
      </c>
    </row>
    <row r="11" spans="1:25" s="40" customFormat="1" ht="12" x14ac:dyDescent="0.2">
      <c r="A11" s="50">
        <v>4</v>
      </c>
      <c r="B11" s="45">
        <v>16360.513612000002</v>
      </c>
      <c r="C11" s="46">
        <f t="shared" si="3"/>
        <v>34041.320672488408</v>
      </c>
      <c r="D11" s="52">
        <f t="shared" si="4"/>
        <v>2836.7767227073673</v>
      </c>
      <c r="E11" s="152">
        <v>1.56</v>
      </c>
      <c r="F11" s="59">
        <f t="shared" si="5"/>
        <v>4425.3716874234933</v>
      </c>
      <c r="G11" s="45">
        <v>18718.5</v>
      </c>
      <c r="H11" s="46">
        <f t="shared" si="6"/>
        <v>38947.582950000004</v>
      </c>
      <c r="I11" s="52">
        <f t="shared" si="7"/>
        <v>3245.6319125000005</v>
      </c>
      <c r="J11" s="152">
        <v>1.56</v>
      </c>
      <c r="K11" s="59">
        <f t="shared" si="8"/>
        <v>5063.185783500001</v>
      </c>
      <c r="L11" s="45">
        <v>21657.99</v>
      </c>
      <c r="M11" s="46">
        <f t="shared" si="9"/>
        <v>45063.779793000009</v>
      </c>
      <c r="N11" s="54">
        <f t="shared" si="10"/>
        <v>3755.3149827500006</v>
      </c>
      <c r="O11" s="152">
        <v>1.56</v>
      </c>
      <c r="P11" s="59">
        <f t="shared" si="11"/>
        <v>5858.2913730900009</v>
      </c>
      <c r="Q11" s="53">
        <v>13961.912724000002</v>
      </c>
      <c r="R11" s="46">
        <f t="shared" si="0"/>
        <v>29050.551804826806</v>
      </c>
      <c r="S11" s="54">
        <f t="shared" si="12"/>
        <v>2420.8793170689005</v>
      </c>
      <c r="T11" s="53">
        <v>13545.113408000001</v>
      </c>
      <c r="U11" s="46">
        <f t="shared" si="1"/>
        <v>28183.317468025605</v>
      </c>
      <c r="V11" s="54">
        <f t="shared" si="13"/>
        <v>2348.6097890021338</v>
      </c>
      <c r="W11" s="53">
        <v>15282.376936000001</v>
      </c>
      <c r="X11" s="46">
        <f t="shared" si="2"/>
        <v>31798.041690735205</v>
      </c>
      <c r="Y11" s="54">
        <f t="shared" si="14"/>
        <v>2649.8368075612671</v>
      </c>
    </row>
    <row r="12" spans="1:25" s="40" customFormat="1" ht="12" x14ac:dyDescent="0.2">
      <c r="A12" s="50">
        <v>5</v>
      </c>
      <c r="B12" s="45">
        <v>16500.973923999998</v>
      </c>
      <c r="C12" s="46">
        <f t="shared" si="3"/>
        <v>34333.576443666796</v>
      </c>
      <c r="D12" s="52">
        <f t="shared" si="4"/>
        <v>2861.1313703055662</v>
      </c>
      <c r="E12" s="152">
        <v>1.56</v>
      </c>
      <c r="F12" s="59">
        <f t="shared" si="5"/>
        <v>4463.3649376766834</v>
      </c>
      <c r="G12" s="45">
        <v>19276.27</v>
      </c>
      <c r="H12" s="46">
        <f t="shared" si="6"/>
        <v>40108.134989000006</v>
      </c>
      <c r="I12" s="52">
        <f t="shared" si="7"/>
        <v>3342.344582416667</v>
      </c>
      <c r="J12" s="152">
        <v>1.56</v>
      </c>
      <c r="K12" s="59">
        <f t="shared" si="8"/>
        <v>5214.057548570001</v>
      </c>
      <c r="L12" s="45">
        <v>22527.69</v>
      </c>
      <c r="M12" s="46">
        <f t="shared" si="9"/>
        <v>46873.364583000002</v>
      </c>
      <c r="N12" s="54">
        <f t="shared" si="10"/>
        <v>3906.11371525</v>
      </c>
      <c r="O12" s="152">
        <v>1.56</v>
      </c>
      <c r="P12" s="59">
        <f t="shared" si="11"/>
        <v>6093.5373957900001</v>
      </c>
      <c r="Q12" s="53">
        <v>14091.253348</v>
      </c>
      <c r="R12" s="46">
        <f t="shared" si="0"/>
        <v>29319.670841183604</v>
      </c>
      <c r="S12" s="54">
        <f t="shared" si="12"/>
        <v>2443.3059034319672</v>
      </c>
      <c r="T12" s="53">
        <v>13615.157299999999</v>
      </c>
      <c r="U12" s="46">
        <f t="shared" si="1"/>
        <v>28329.057794110002</v>
      </c>
      <c r="V12" s="54">
        <f t="shared" si="13"/>
        <v>2360.7548161758336</v>
      </c>
      <c r="W12" s="53">
        <v>15411.248004000003</v>
      </c>
      <c r="X12" s="46">
        <f t="shared" si="2"/>
        <v>32066.183721922807</v>
      </c>
      <c r="Y12" s="54">
        <f t="shared" si="14"/>
        <v>2672.1819768269006</v>
      </c>
    </row>
    <row r="13" spans="1:25" s="40" customFormat="1" ht="12" x14ac:dyDescent="0.2">
      <c r="A13" s="50">
        <v>6</v>
      </c>
      <c r="B13" s="45">
        <v>16641.416624000001</v>
      </c>
      <c r="C13" s="46">
        <f t="shared" si="3"/>
        <v>34625.795569556809</v>
      </c>
      <c r="D13" s="52">
        <f t="shared" si="4"/>
        <v>2885.4829641297342</v>
      </c>
      <c r="E13" s="152">
        <v>1.56</v>
      </c>
      <c r="F13" s="59">
        <f t="shared" si="5"/>
        <v>4501.353424042386</v>
      </c>
      <c r="G13" s="45">
        <v>19276.27</v>
      </c>
      <c r="H13" s="46">
        <f t="shared" si="6"/>
        <v>40108.134989000006</v>
      </c>
      <c r="I13" s="52">
        <f t="shared" si="7"/>
        <v>3342.344582416667</v>
      </c>
      <c r="J13" s="152">
        <v>1.56</v>
      </c>
      <c r="K13" s="59">
        <f t="shared" si="8"/>
        <v>5214.057548570001</v>
      </c>
      <c r="L13" s="45">
        <v>22527.69</v>
      </c>
      <c r="M13" s="46">
        <f t="shared" si="9"/>
        <v>46873.364583000002</v>
      </c>
      <c r="N13" s="54">
        <f t="shared" si="10"/>
        <v>3906.11371525</v>
      </c>
      <c r="O13" s="152">
        <v>1.56</v>
      </c>
      <c r="P13" s="59">
        <f t="shared" si="11"/>
        <v>6093.5373957900001</v>
      </c>
      <c r="Q13" s="53">
        <v>14220.845608</v>
      </c>
      <c r="R13" s="46">
        <f t="shared" si="0"/>
        <v>29589.313456565604</v>
      </c>
      <c r="S13" s="54">
        <f t="shared" si="12"/>
        <v>2465.776121380467</v>
      </c>
      <c r="T13" s="53">
        <v>13685.178804000001</v>
      </c>
      <c r="U13" s="46">
        <f t="shared" si="1"/>
        <v>28474.751537482804</v>
      </c>
      <c r="V13" s="54">
        <f t="shared" si="13"/>
        <v>2372.8959614569003</v>
      </c>
      <c r="W13" s="53">
        <v>15722.728508</v>
      </c>
      <c r="X13" s="46">
        <f t="shared" si="2"/>
        <v>32714.281206595602</v>
      </c>
      <c r="Y13" s="54">
        <f t="shared" si="14"/>
        <v>2726.1901005496334</v>
      </c>
    </row>
    <row r="14" spans="1:25" s="40" customFormat="1" ht="12" x14ac:dyDescent="0.2">
      <c r="A14" s="50">
        <v>7</v>
      </c>
      <c r="B14" s="45">
        <v>16781.856936</v>
      </c>
      <c r="C14" s="46">
        <f t="shared" si="3"/>
        <v>34918.009726735203</v>
      </c>
      <c r="D14" s="52">
        <f t="shared" si="4"/>
        <v>2909.8341438946004</v>
      </c>
      <c r="E14" s="152">
        <v>1.56</v>
      </c>
      <c r="F14" s="59">
        <f t="shared" si="5"/>
        <v>4539.3412644755772</v>
      </c>
      <c r="G14" s="45">
        <v>21472.135044000002</v>
      </c>
      <c r="H14" s="46">
        <f t="shared" si="6"/>
        <v>44677.071386050811</v>
      </c>
      <c r="I14" s="52">
        <f t="shared" si="7"/>
        <v>3723.0892821709008</v>
      </c>
      <c r="J14" s="152">
        <v>1.56</v>
      </c>
      <c r="K14" s="59">
        <f t="shared" si="8"/>
        <v>5808.0192801866051</v>
      </c>
      <c r="L14" s="45">
        <v>23397.43</v>
      </c>
      <c r="M14" s="46">
        <f t="shared" si="9"/>
        <v>48683.032601000006</v>
      </c>
      <c r="N14" s="54">
        <f t="shared" si="10"/>
        <v>4056.9193834166672</v>
      </c>
      <c r="O14" s="152">
        <v>1.56</v>
      </c>
      <c r="P14" s="59">
        <f t="shared" si="11"/>
        <v>6328.7942381300008</v>
      </c>
      <c r="Q14" s="53">
        <v>14350.390255999999</v>
      </c>
      <c r="R14" s="46">
        <f t="shared" si="0"/>
        <v>29858.8570056592</v>
      </c>
      <c r="S14" s="54">
        <f t="shared" si="12"/>
        <v>2488.2380838049335</v>
      </c>
      <c r="T14" s="53">
        <v>13755.220308</v>
      </c>
      <c r="U14" s="46">
        <f t="shared" si="1"/>
        <v>28620.486894855603</v>
      </c>
      <c r="V14" s="54">
        <f t="shared" si="13"/>
        <v>2385.0405745713001</v>
      </c>
      <c r="W14" s="53">
        <v>16034.191399999998</v>
      </c>
      <c r="X14" s="46">
        <f t="shared" si="2"/>
        <v>33362.342045979996</v>
      </c>
      <c r="Y14" s="54">
        <f t="shared" si="14"/>
        <v>2780.195170498333</v>
      </c>
    </row>
    <row r="15" spans="1:25" s="40" customFormat="1" ht="12" x14ac:dyDescent="0.2">
      <c r="A15" s="50">
        <v>8</v>
      </c>
      <c r="B15" s="45">
        <v>16922.319635999997</v>
      </c>
      <c r="C15" s="46">
        <f t="shared" si="3"/>
        <v>35210.270466625196</v>
      </c>
      <c r="D15" s="52">
        <f t="shared" si="4"/>
        <v>2934.1892055520998</v>
      </c>
      <c r="E15" s="152">
        <v>1.56</v>
      </c>
      <c r="F15" s="59">
        <f t="shared" si="5"/>
        <v>4577.3351606612759</v>
      </c>
      <c r="G15" s="45">
        <v>21472.135044000002</v>
      </c>
      <c r="H15" s="46">
        <f t="shared" si="6"/>
        <v>44677.071386050811</v>
      </c>
      <c r="I15" s="52">
        <f t="shared" si="7"/>
        <v>3723.0892821709008</v>
      </c>
      <c r="J15" s="152">
        <v>1.56</v>
      </c>
      <c r="K15" s="59">
        <f t="shared" si="8"/>
        <v>5808.0192801866051</v>
      </c>
      <c r="L15" s="45">
        <v>23397.43</v>
      </c>
      <c r="M15" s="46">
        <f t="shared" si="9"/>
        <v>48683.032601000006</v>
      </c>
      <c r="N15" s="54">
        <f t="shared" si="10"/>
        <v>4056.9193834166672</v>
      </c>
      <c r="O15" s="152">
        <v>1.56</v>
      </c>
      <c r="P15" s="59">
        <f t="shared" si="11"/>
        <v>6328.7942381300008</v>
      </c>
      <c r="Q15" s="53">
        <v>14479.962516</v>
      </c>
      <c r="R15" s="46">
        <f t="shared" si="0"/>
        <v>30128.458007041201</v>
      </c>
      <c r="S15" s="54">
        <f t="shared" si="12"/>
        <v>2510.7048339201001</v>
      </c>
      <c r="T15" s="53">
        <v>13825.261812000001</v>
      </c>
      <c r="U15" s="46">
        <f t="shared" si="1"/>
        <v>28766.222252228403</v>
      </c>
      <c r="V15" s="54">
        <f t="shared" si="13"/>
        <v>2397.1851876857004</v>
      </c>
      <c r="W15" s="53">
        <v>16345.654291999999</v>
      </c>
      <c r="X15" s="46">
        <f t="shared" si="2"/>
        <v>34010.402885364405</v>
      </c>
      <c r="Y15" s="54">
        <f t="shared" si="14"/>
        <v>2834.2002404470336</v>
      </c>
    </row>
    <row r="16" spans="1:25" s="40" customFormat="1" ht="12" x14ac:dyDescent="0.2">
      <c r="A16" s="50">
        <v>9</v>
      </c>
      <c r="B16" s="45">
        <v>17062.759947999999</v>
      </c>
      <c r="C16" s="46">
        <f t="shared" si="3"/>
        <v>35502.484623803604</v>
      </c>
      <c r="D16" s="52">
        <f t="shared" si="4"/>
        <v>2958.5403853169669</v>
      </c>
      <c r="E16" s="152">
        <v>1.56</v>
      </c>
      <c r="F16" s="59">
        <f t="shared" si="5"/>
        <v>4615.3230010944681</v>
      </c>
      <c r="G16" s="45">
        <v>22024.820760000002</v>
      </c>
      <c r="H16" s="46">
        <f t="shared" si="6"/>
        <v>45827.04455533201</v>
      </c>
      <c r="I16" s="52">
        <f t="shared" si="7"/>
        <v>3818.920379611001</v>
      </c>
      <c r="J16" s="152">
        <v>1.56</v>
      </c>
      <c r="K16" s="59">
        <f t="shared" si="8"/>
        <v>5957.5157921931614</v>
      </c>
      <c r="L16" s="45">
        <v>24267.13</v>
      </c>
      <c r="M16" s="46">
        <f t="shared" si="9"/>
        <v>50492.617391000007</v>
      </c>
      <c r="N16" s="54">
        <f t="shared" si="10"/>
        <v>4207.7181159166676</v>
      </c>
      <c r="O16" s="152">
        <v>1.56</v>
      </c>
      <c r="P16" s="59">
        <f t="shared" si="11"/>
        <v>6564.0402608300019</v>
      </c>
      <c r="Q16" s="53">
        <v>14609.504776000002</v>
      </c>
      <c r="R16" s="46">
        <f t="shared" si="0"/>
        <v>30397.996587423208</v>
      </c>
      <c r="S16" s="54">
        <f t="shared" si="12"/>
        <v>2533.1663822852674</v>
      </c>
      <c r="T16" s="53">
        <v>13895.335704000001</v>
      </c>
      <c r="U16" s="46">
        <f t="shared" si="1"/>
        <v>28912.024999312805</v>
      </c>
      <c r="V16" s="54">
        <f t="shared" si="13"/>
        <v>2409.3354166094005</v>
      </c>
      <c r="W16" s="53">
        <v>16657.097184000002</v>
      </c>
      <c r="X16" s="46">
        <f t="shared" si="2"/>
        <v>34658.422110748805</v>
      </c>
      <c r="Y16" s="54">
        <f t="shared" si="14"/>
        <v>2888.2018425624005</v>
      </c>
    </row>
    <row r="17" spans="1:25" s="40" customFormat="1" ht="12" x14ac:dyDescent="0.2">
      <c r="A17" s="50">
        <v>10</v>
      </c>
      <c r="B17" s="45">
        <v>17613.846568000001</v>
      </c>
      <c r="C17" s="46">
        <f t="shared" si="3"/>
        <v>36649.130554037605</v>
      </c>
      <c r="D17" s="52">
        <f t="shared" si="4"/>
        <v>3054.0942128364672</v>
      </c>
      <c r="E17" s="152">
        <v>1.56</v>
      </c>
      <c r="F17" s="59">
        <f t="shared" si="5"/>
        <v>4764.3869720248895</v>
      </c>
      <c r="G17" s="45">
        <v>22382.751400000001</v>
      </c>
      <c r="H17" s="46">
        <f t="shared" si="6"/>
        <v>46571.790837980006</v>
      </c>
      <c r="I17" s="52">
        <f t="shared" si="7"/>
        <v>3880.9825698316672</v>
      </c>
      <c r="J17" s="152">
        <v>1.56</v>
      </c>
      <c r="K17" s="59">
        <f t="shared" si="8"/>
        <v>6054.3328089374008</v>
      </c>
      <c r="L17" s="45">
        <v>24590.73</v>
      </c>
      <c r="M17" s="46">
        <f t="shared" si="9"/>
        <v>51165.931911000007</v>
      </c>
      <c r="N17" s="54">
        <f t="shared" si="10"/>
        <v>4263.8276592500006</v>
      </c>
      <c r="O17" s="152">
        <v>1.56</v>
      </c>
      <c r="P17" s="59">
        <f t="shared" si="11"/>
        <v>6651.5711484300009</v>
      </c>
      <c r="Q17" s="53">
        <v>15103.3562</v>
      </c>
      <c r="R17" s="46">
        <f t="shared" si="0"/>
        <v>31425.553245340005</v>
      </c>
      <c r="S17" s="54">
        <f t="shared" si="12"/>
        <v>2618.7961037783339</v>
      </c>
      <c r="T17" s="53">
        <v>14326.625475999997</v>
      </c>
      <c r="U17" s="46">
        <f t="shared" si="1"/>
        <v>29809.409627913199</v>
      </c>
      <c r="V17" s="54">
        <f t="shared" si="13"/>
        <v>2484.1174689927666</v>
      </c>
      <c r="W17" s="53">
        <v>17324.610588</v>
      </c>
      <c r="X17" s="46">
        <f t="shared" si="2"/>
        <v>36047.317250451604</v>
      </c>
      <c r="Y17" s="54">
        <f t="shared" si="14"/>
        <v>3003.9431042043002</v>
      </c>
    </row>
    <row r="18" spans="1:25" s="40" customFormat="1" ht="12" x14ac:dyDescent="0.2">
      <c r="A18" s="50">
        <v>11</v>
      </c>
      <c r="B18" s="45">
        <v>17782.261808000003</v>
      </c>
      <c r="C18" s="46">
        <f t="shared" si="3"/>
        <v>36999.55214390561</v>
      </c>
      <c r="D18" s="52">
        <f t="shared" si="4"/>
        <v>3083.296011992134</v>
      </c>
      <c r="E18" s="152">
        <v>1.56</v>
      </c>
      <c r="F18" s="59">
        <f t="shared" si="5"/>
        <v>4809.9417787077291</v>
      </c>
      <c r="G18" s="45">
        <v>22929.147124000003</v>
      </c>
      <c r="H18" s="46">
        <f t="shared" si="6"/>
        <v>47708.676420906813</v>
      </c>
      <c r="I18" s="52">
        <f t="shared" si="7"/>
        <v>3975.7230350755676</v>
      </c>
      <c r="J18" s="152">
        <v>1.56</v>
      </c>
      <c r="K18" s="59">
        <f t="shared" si="8"/>
        <v>6202.1279347178861</v>
      </c>
      <c r="L18" s="45">
        <v>25460.47</v>
      </c>
      <c r="M18" s="46">
        <f t="shared" si="9"/>
        <v>52975.599929000011</v>
      </c>
      <c r="N18" s="54">
        <f t="shared" si="10"/>
        <v>4414.6333274166673</v>
      </c>
      <c r="O18" s="152">
        <v>1.56</v>
      </c>
      <c r="P18" s="59">
        <f t="shared" si="11"/>
        <v>6886.8279907700007</v>
      </c>
      <c r="Q18" s="53">
        <v>15260.876971999998</v>
      </c>
      <c r="R18" s="46">
        <f t="shared" si="0"/>
        <v>31753.306715640399</v>
      </c>
      <c r="S18" s="54">
        <f t="shared" si="12"/>
        <v>2646.1088929700331</v>
      </c>
      <c r="T18" s="53">
        <v>14413.016271999999</v>
      </c>
      <c r="U18" s="46">
        <f t="shared" si="1"/>
        <v>29989.162957150402</v>
      </c>
      <c r="V18" s="54">
        <f t="shared" si="13"/>
        <v>2499.096913095867</v>
      </c>
      <c r="W18" s="53">
        <v>17636.073479999999</v>
      </c>
      <c r="X18" s="46">
        <f t="shared" si="2"/>
        <v>36695.378089836006</v>
      </c>
      <c r="Y18" s="54">
        <f t="shared" si="14"/>
        <v>3057.9481741530003</v>
      </c>
    </row>
    <row r="19" spans="1:25" s="40" customFormat="1" ht="12" x14ac:dyDescent="0.2">
      <c r="A19" s="50">
        <v>12</v>
      </c>
      <c r="B19" s="45">
        <v>17950.754660000002</v>
      </c>
      <c r="C19" s="46">
        <f t="shared" si="3"/>
        <v>37350.13522106201</v>
      </c>
      <c r="D19" s="52">
        <f t="shared" si="4"/>
        <v>3112.5112684218343</v>
      </c>
      <c r="E19" s="152">
        <v>1.56</v>
      </c>
      <c r="F19" s="59">
        <f t="shared" si="5"/>
        <v>4855.5175787380613</v>
      </c>
      <c r="G19" s="45">
        <v>22929.147124000003</v>
      </c>
      <c r="H19" s="46">
        <f t="shared" si="6"/>
        <v>47708.676420906813</v>
      </c>
      <c r="I19" s="52">
        <f t="shared" si="7"/>
        <v>3975.7230350755676</v>
      </c>
      <c r="J19" s="152">
        <v>1.56</v>
      </c>
      <c r="K19" s="59">
        <f t="shared" si="8"/>
        <v>6202.1279347178861</v>
      </c>
      <c r="L19" s="45">
        <v>25460.47</v>
      </c>
      <c r="M19" s="46">
        <f t="shared" si="9"/>
        <v>52975.599929000011</v>
      </c>
      <c r="N19" s="54">
        <f t="shared" si="10"/>
        <v>4414.6333274166673</v>
      </c>
      <c r="O19" s="152">
        <v>1.56</v>
      </c>
      <c r="P19" s="59">
        <f t="shared" si="11"/>
        <v>6886.8279907700007</v>
      </c>
      <c r="Q19" s="53">
        <v>15418.377744000001</v>
      </c>
      <c r="R19" s="46">
        <f t="shared" si="0"/>
        <v>32081.018571940807</v>
      </c>
      <c r="S19" s="54">
        <f t="shared" si="12"/>
        <v>2673.4182143284006</v>
      </c>
      <c r="T19" s="53">
        <v>14466.688483999998</v>
      </c>
      <c r="U19" s="46">
        <f t="shared" si="1"/>
        <v>30100.8387286588</v>
      </c>
      <c r="V19" s="54">
        <f t="shared" si="13"/>
        <v>2508.4032273882335</v>
      </c>
      <c r="W19" s="53">
        <v>17947.566371999998</v>
      </c>
      <c r="X19" s="46">
        <f t="shared" si="2"/>
        <v>37343.501350220402</v>
      </c>
      <c r="Y19" s="54">
        <f t="shared" si="14"/>
        <v>3111.9584458517002</v>
      </c>
    </row>
    <row r="20" spans="1:25" s="40" customFormat="1" ht="12" x14ac:dyDescent="0.2">
      <c r="A20" s="50">
        <v>13</v>
      </c>
      <c r="B20" s="45">
        <v>18119.187512</v>
      </c>
      <c r="C20" s="46">
        <f t="shared" si="3"/>
        <v>37700.593456218405</v>
      </c>
      <c r="D20" s="52">
        <f t="shared" si="4"/>
        <v>3141.7161213515337</v>
      </c>
      <c r="E20" s="152">
        <v>1.56</v>
      </c>
      <c r="F20" s="59">
        <f t="shared" si="5"/>
        <v>4901.077149308393</v>
      </c>
      <c r="G20" s="45">
        <v>23475.510460000001</v>
      </c>
      <c r="H20" s="46">
        <f t="shared" si="6"/>
        <v>48845.494614122006</v>
      </c>
      <c r="I20" s="52">
        <f t="shared" si="7"/>
        <v>4070.4578845101673</v>
      </c>
      <c r="J20" s="152">
        <v>1.56</v>
      </c>
      <c r="K20" s="59">
        <f t="shared" si="8"/>
        <v>6349.9142998358611</v>
      </c>
      <c r="L20" s="45">
        <v>26330.17</v>
      </c>
      <c r="M20" s="46">
        <f t="shared" si="9"/>
        <v>54785.184719000004</v>
      </c>
      <c r="N20" s="54">
        <f t="shared" si="10"/>
        <v>4565.4320599166667</v>
      </c>
      <c r="O20" s="152">
        <v>1.56</v>
      </c>
      <c r="P20" s="59">
        <f t="shared" si="11"/>
        <v>7122.07401347</v>
      </c>
      <c r="Q20" s="53">
        <v>15575.868516</v>
      </c>
      <c r="R20" s="46">
        <f t="shared" si="0"/>
        <v>32408.709621241203</v>
      </c>
      <c r="S20" s="54">
        <f t="shared" si="12"/>
        <v>2700.7258017701001</v>
      </c>
      <c r="T20" s="53">
        <v>14536.752376</v>
      </c>
      <c r="U20" s="46">
        <f t="shared" si="1"/>
        <v>30246.620668743202</v>
      </c>
      <c r="V20" s="54">
        <f t="shared" si="13"/>
        <v>2520.551722395267</v>
      </c>
      <c r="W20" s="53">
        <v>18259.019264000002</v>
      </c>
      <c r="X20" s="46">
        <f t="shared" si="2"/>
        <v>37991.54138260481</v>
      </c>
      <c r="Y20" s="54">
        <f t="shared" si="14"/>
        <v>3165.9617818837341</v>
      </c>
    </row>
    <row r="21" spans="1:25" s="40" customFormat="1" ht="12" x14ac:dyDescent="0.2">
      <c r="A21" s="50">
        <v>14</v>
      </c>
      <c r="B21" s="45">
        <v>18287.682752000001</v>
      </c>
      <c r="C21" s="46">
        <f t="shared" si="3"/>
        <v>38051.181502086409</v>
      </c>
      <c r="D21" s="52">
        <f t="shared" si="4"/>
        <v>3170.9317918405341</v>
      </c>
      <c r="E21" s="152">
        <v>1.56</v>
      </c>
      <c r="F21" s="59">
        <f t="shared" si="5"/>
        <v>4946.6535952712329</v>
      </c>
      <c r="G21" s="45">
        <v>23475.510460000001</v>
      </c>
      <c r="H21" s="46">
        <f t="shared" si="6"/>
        <v>48845.494614122006</v>
      </c>
      <c r="I21" s="52">
        <f t="shared" si="7"/>
        <v>4070.4578845101673</v>
      </c>
      <c r="J21" s="152">
        <v>1.56</v>
      </c>
      <c r="K21" s="59">
        <f t="shared" si="8"/>
        <v>6349.9142998358611</v>
      </c>
      <c r="L21" s="45">
        <v>26330.17</v>
      </c>
      <c r="M21" s="46">
        <f t="shared" si="9"/>
        <v>54785.184719000004</v>
      </c>
      <c r="N21" s="54">
        <f t="shared" si="10"/>
        <v>4565.4320599166667</v>
      </c>
      <c r="O21" s="152">
        <v>1.56</v>
      </c>
      <c r="P21" s="59">
        <f t="shared" si="11"/>
        <v>7122.07401347</v>
      </c>
      <c r="Q21" s="53">
        <v>15733.3969</v>
      </c>
      <c r="R21" s="46">
        <f t="shared" si="0"/>
        <v>32736.478929830002</v>
      </c>
      <c r="S21" s="54">
        <f t="shared" si="12"/>
        <v>2728.0399108191668</v>
      </c>
      <c r="T21" s="53">
        <v>14606.793879999999</v>
      </c>
      <c r="U21" s="46">
        <f t="shared" si="1"/>
        <v>30392.356026116002</v>
      </c>
      <c r="V21" s="54">
        <f t="shared" si="13"/>
        <v>2532.6963355096668</v>
      </c>
      <c r="W21" s="53">
        <v>18570.462156000001</v>
      </c>
      <c r="X21" s="46">
        <f t="shared" si="2"/>
        <v>38639.56060798921</v>
      </c>
      <c r="Y21" s="54">
        <f t="shared" si="14"/>
        <v>3219.9633839991006</v>
      </c>
    </row>
    <row r="22" spans="1:25" s="40" customFormat="1" ht="12" x14ac:dyDescent="0.2">
      <c r="A22" s="50">
        <v>15</v>
      </c>
      <c r="B22" s="45">
        <v>18456.155604</v>
      </c>
      <c r="C22" s="46">
        <f t="shared" si="3"/>
        <v>38401.7229652428</v>
      </c>
      <c r="D22" s="52">
        <f t="shared" si="4"/>
        <v>3200.1435804368998</v>
      </c>
      <c r="E22" s="152">
        <v>1.56</v>
      </c>
      <c r="F22" s="59">
        <f t="shared" si="5"/>
        <v>4992.2239854815634</v>
      </c>
      <c r="G22" s="45">
        <v>24043.191920000001</v>
      </c>
      <c r="H22" s="46">
        <f t="shared" si="6"/>
        <v>50026.669427944005</v>
      </c>
      <c r="I22" s="52">
        <f t="shared" si="7"/>
        <v>4168.8891189953338</v>
      </c>
      <c r="J22" s="152">
        <v>1.56</v>
      </c>
      <c r="K22" s="59">
        <f t="shared" si="8"/>
        <v>6503.4670256327208</v>
      </c>
      <c r="L22" s="45">
        <v>27199.91</v>
      </c>
      <c r="M22" s="46">
        <f t="shared" si="9"/>
        <v>56594.852737000008</v>
      </c>
      <c r="N22" s="54">
        <f t="shared" si="10"/>
        <v>4716.2377280833343</v>
      </c>
      <c r="O22" s="152">
        <v>1.56</v>
      </c>
      <c r="P22" s="59">
        <f t="shared" si="11"/>
        <v>7357.3308558100016</v>
      </c>
      <c r="Q22" s="53">
        <v>15890.887672000001</v>
      </c>
      <c r="R22" s="46">
        <f t="shared" si="0"/>
        <v>33064.169979130405</v>
      </c>
      <c r="S22" s="54">
        <f t="shared" si="12"/>
        <v>2755.3474982608673</v>
      </c>
      <c r="T22" s="53">
        <v>14676.835384</v>
      </c>
      <c r="U22" s="46">
        <f t="shared" si="1"/>
        <v>30538.091383488802</v>
      </c>
      <c r="V22" s="54">
        <f t="shared" si="13"/>
        <v>2544.8409486240666</v>
      </c>
      <c r="W22" s="53">
        <v>18881.92266</v>
      </c>
      <c r="X22" s="46">
        <f t="shared" si="2"/>
        <v>39287.616478662007</v>
      </c>
      <c r="Y22" s="54">
        <f t="shared" si="14"/>
        <v>3273.9680398885007</v>
      </c>
    </row>
    <row r="23" spans="1:25" s="40" customFormat="1" ht="12" x14ac:dyDescent="0.2">
      <c r="A23" s="50">
        <v>16</v>
      </c>
      <c r="B23" s="45">
        <v>18624.590843999998</v>
      </c>
      <c r="C23" s="46">
        <f t="shared" si="3"/>
        <v>38752.186169110799</v>
      </c>
      <c r="D23" s="52">
        <f t="shared" si="4"/>
        <v>3229.3488474258997</v>
      </c>
      <c r="E23" s="152">
        <v>1.56</v>
      </c>
      <c r="F23" s="59">
        <f t="shared" si="5"/>
        <v>5037.7842019844038</v>
      </c>
      <c r="G23" s="45">
        <v>25903.937260000002</v>
      </c>
      <c r="H23" s="46">
        <f t="shared" si="6"/>
        <v>53898.322256882013</v>
      </c>
      <c r="I23" s="52">
        <f t="shared" si="7"/>
        <v>4491.5268547401674</v>
      </c>
      <c r="J23" s="152">
        <v>1.56</v>
      </c>
      <c r="K23" s="59">
        <f t="shared" si="8"/>
        <v>7006.7818933946619</v>
      </c>
      <c r="L23" s="45">
        <v>27199.91</v>
      </c>
      <c r="M23" s="46">
        <f t="shared" si="9"/>
        <v>56594.852737000008</v>
      </c>
      <c r="N23" s="54">
        <f t="shared" si="10"/>
        <v>4716.2377280833343</v>
      </c>
      <c r="O23" s="152">
        <v>1.56</v>
      </c>
      <c r="P23" s="59">
        <f t="shared" si="11"/>
        <v>7357.3308558100016</v>
      </c>
      <c r="Q23" s="53">
        <v>16048.388444</v>
      </c>
      <c r="R23" s="46">
        <f t="shared" si="0"/>
        <v>33391.881835430802</v>
      </c>
      <c r="S23" s="54">
        <f t="shared" si="12"/>
        <v>2782.6568196192334</v>
      </c>
      <c r="T23" s="53">
        <v>14746.876888000001</v>
      </c>
      <c r="U23" s="46">
        <f t="shared" si="1"/>
        <v>30683.826740861605</v>
      </c>
      <c r="V23" s="54">
        <f t="shared" si="13"/>
        <v>2556.9855617384669</v>
      </c>
      <c r="W23" s="53">
        <v>19193.405552000004</v>
      </c>
      <c r="X23" s="46">
        <f t="shared" si="2"/>
        <v>39935.718932046409</v>
      </c>
      <c r="Y23" s="54">
        <f t="shared" si="14"/>
        <v>3327.976577670534</v>
      </c>
    </row>
    <row r="24" spans="1:25" s="40" customFormat="1" ht="12" x14ac:dyDescent="0.2">
      <c r="A24" s="50">
        <v>17</v>
      </c>
      <c r="B24" s="45">
        <v>18793.083696000002</v>
      </c>
      <c r="C24" s="46">
        <f t="shared" si="3"/>
        <v>39102.769246267206</v>
      </c>
      <c r="D24" s="52">
        <f t="shared" si="4"/>
        <v>3258.5641038556005</v>
      </c>
      <c r="E24" s="152">
        <v>1.56</v>
      </c>
      <c r="F24" s="59">
        <f t="shared" si="5"/>
        <v>5083.3600020147369</v>
      </c>
      <c r="G24" s="45">
        <v>26450.300596000005</v>
      </c>
      <c r="H24" s="46">
        <f t="shared" si="6"/>
        <v>55035.140450097213</v>
      </c>
      <c r="I24" s="52">
        <f t="shared" si="7"/>
        <v>4586.2617041747681</v>
      </c>
      <c r="J24" s="152">
        <v>1.56</v>
      </c>
      <c r="K24" s="59">
        <f t="shared" si="8"/>
        <v>7154.5682585126387</v>
      </c>
      <c r="L24" s="45">
        <v>28069.62</v>
      </c>
      <c r="M24" s="46">
        <f t="shared" si="9"/>
        <v>58404.458334000003</v>
      </c>
      <c r="N24" s="54">
        <f t="shared" si="10"/>
        <v>4867.0381944999999</v>
      </c>
      <c r="O24" s="152">
        <v>1.56</v>
      </c>
      <c r="P24" s="59">
        <f t="shared" si="11"/>
        <v>7592.5795834199998</v>
      </c>
      <c r="Q24" s="53">
        <v>16205.939216000001</v>
      </c>
      <c r="R24" s="46">
        <f t="shared" si="0"/>
        <v>33719.697726731203</v>
      </c>
      <c r="S24" s="54">
        <f t="shared" si="12"/>
        <v>2809.9748105609337</v>
      </c>
      <c r="T24" s="53">
        <v>14816.928392000002</v>
      </c>
      <c r="U24" s="46">
        <f t="shared" si="1"/>
        <v>30829.582905234405</v>
      </c>
      <c r="V24" s="54">
        <f t="shared" si="13"/>
        <v>2569.1319087695338</v>
      </c>
      <c r="W24" s="53">
        <v>19509.277399999999</v>
      </c>
      <c r="X24" s="46">
        <f t="shared" si="2"/>
        <v>40592.953486180006</v>
      </c>
      <c r="Y24" s="54">
        <f t="shared" si="14"/>
        <v>3382.7461238483338</v>
      </c>
    </row>
    <row r="25" spans="1:25" s="40" customFormat="1" ht="12" x14ac:dyDescent="0.2">
      <c r="A25" s="50">
        <v>18</v>
      </c>
      <c r="B25" s="45">
        <v>18961.526548000005</v>
      </c>
      <c r="C25" s="46">
        <f t="shared" si="3"/>
        <v>39453.248288423616</v>
      </c>
      <c r="D25" s="52">
        <f t="shared" si="4"/>
        <v>3287.7706907019679</v>
      </c>
      <c r="E25" s="152">
        <v>1.56</v>
      </c>
      <c r="F25" s="59">
        <f t="shared" si="5"/>
        <v>5128.9222774950704</v>
      </c>
      <c r="G25" s="45">
        <v>26452.265920000002</v>
      </c>
      <c r="H25" s="46">
        <f t="shared" si="6"/>
        <v>55039.229699744006</v>
      </c>
      <c r="I25" s="52">
        <f t="shared" si="7"/>
        <v>4586.6024749786675</v>
      </c>
      <c r="J25" s="152">
        <v>1.56</v>
      </c>
      <c r="K25" s="59">
        <f t="shared" si="8"/>
        <v>7155.0998609667213</v>
      </c>
      <c r="L25" s="45">
        <v>28069.62</v>
      </c>
      <c r="M25" s="46">
        <f t="shared" si="9"/>
        <v>58404.458334000003</v>
      </c>
      <c r="N25" s="54">
        <f t="shared" si="10"/>
        <v>4867.0381944999999</v>
      </c>
      <c r="O25" s="152">
        <v>1.56</v>
      </c>
      <c r="P25" s="59">
        <f t="shared" si="11"/>
        <v>7592.5795834199998</v>
      </c>
      <c r="Q25" s="53">
        <v>16363.409987999999</v>
      </c>
      <c r="R25" s="46">
        <f t="shared" si="0"/>
        <v>34047.347162031605</v>
      </c>
      <c r="S25" s="54">
        <f t="shared" si="12"/>
        <v>2837.2789301693006</v>
      </c>
      <c r="T25" s="53">
        <v>14886.972283999999</v>
      </c>
      <c r="U25" s="46">
        <f t="shared" si="1"/>
        <v>30975.323231318802</v>
      </c>
      <c r="V25" s="54">
        <f t="shared" si="13"/>
        <v>2581.2769359432336</v>
      </c>
      <c r="W25" s="53">
        <v>19826.894919999999</v>
      </c>
      <c r="X25" s="46">
        <f t="shared" si="2"/>
        <v>41253.820260044005</v>
      </c>
      <c r="Y25" s="54">
        <f t="shared" si="14"/>
        <v>3437.818355003667</v>
      </c>
    </row>
    <row r="26" spans="1:25" s="40" customFormat="1" ht="12" x14ac:dyDescent="0.2">
      <c r="A26" s="50">
        <v>19</v>
      </c>
      <c r="B26" s="45">
        <v>19130.021787999998</v>
      </c>
      <c r="C26" s="46">
        <f t="shared" si="3"/>
        <v>39803.836334291598</v>
      </c>
      <c r="D26" s="52">
        <f t="shared" si="4"/>
        <v>3316.9863611909664</v>
      </c>
      <c r="E26" s="152">
        <v>1.56</v>
      </c>
      <c r="F26" s="59">
        <f t="shared" si="5"/>
        <v>5174.4987234579075</v>
      </c>
      <c r="G26" s="45">
        <v>27002.691691999997</v>
      </c>
      <c r="H26" s="46">
        <f t="shared" si="6"/>
        <v>56184.500603544402</v>
      </c>
      <c r="I26" s="52">
        <f t="shared" si="7"/>
        <v>4682.0417169620332</v>
      </c>
      <c r="J26" s="152">
        <v>1.56</v>
      </c>
      <c r="K26" s="59">
        <f t="shared" si="8"/>
        <v>7303.9850784607725</v>
      </c>
      <c r="L26" s="45">
        <v>28939.35</v>
      </c>
      <c r="M26" s="46">
        <f t="shared" si="9"/>
        <v>60214.105545000006</v>
      </c>
      <c r="N26" s="54">
        <f t="shared" si="10"/>
        <v>5017.8421287500005</v>
      </c>
      <c r="O26" s="152">
        <v>1.56</v>
      </c>
      <c r="P26" s="59">
        <f t="shared" si="11"/>
        <v>7827.8337208500006</v>
      </c>
      <c r="Q26" s="53">
        <v>16520.938372000001</v>
      </c>
      <c r="R26" s="46">
        <f t="shared" si="0"/>
        <v>34375.116470620407</v>
      </c>
      <c r="S26" s="54">
        <f t="shared" si="12"/>
        <v>2864.5930392183673</v>
      </c>
      <c r="T26" s="53">
        <v>14957.013788</v>
      </c>
      <c r="U26" s="46">
        <f t="shared" si="1"/>
        <v>31121.058588691605</v>
      </c>
      <c r="V26" s="54">
        <f t="shared" si="13"/>
        <v>2593.4215490576339</v>
      </c>
      <c r="W26" s="53">
        <v>20144.411844000002</v>
      </c>
      <c r="X26" s="46">
        <f t="shared" si="2"/>
        <v>41914.477723810807</v>
      </c>
      <c r="Y26" s="54">
        <f t="shared" si="14"/>
        <v>3492.8731436509006</v>
      </c>
    </row>
    <row r="27" spans="1:25" s="40" customFormat="1" ht="12" x14ac:dyDescent="0.2">
      <c r="A27" s="50">
        <v>20</v>
      </c>
      <c r="B27" s="45">
        <v>19298.464640000002</v>
      </c>
      <c r="C27" s="46">
        <f t="shared" si="3"/>
        <v>40154.315376448008</v>
      </c>
      <c r="D27" s="52">
        <f t="shared" si="4"/>
        <v>3346.1929480373342</v>
      </c>
      <c r="E27" s="152">
        <v>1.56</v>
      </c>
      <c r="F27" s="59">
        <f t="shared" si="5"/>
        <v>5220.0609989382419</v>
      </c>
      <c r="G27" s="45">
        <v>27074.331692</v>
      </c>
      <c r="H27" s="46">
        <f t="shared" si="6"/>
        <v>56333.561951544405</v>
      </c>
      <c r="I27" s="52">
        <f t="shared" si="7"/>
        <v>4694.4634959620334</v>
      </c>
      <c r="J27" s="152">
        <v>1.56</v>
      </c>
      <c r="K27" s="59">
        <f t="shared" si="8"/>
        <v>7323.3630537007721</v>
      </c>
      <c r="L27" s="45">
        <v>28939.35</v>
      </c>
      <c r="M27" s="46">
        <f t="shared" si="9"/>
        <v>60214.105545000006</v>
      </c>
      <c r="N27" s="54">
        <f t="shared" si="10"/>
        <v>5017.8421287500005</v>
      </c>
      <c r="O27" s="152">
        <v>1.56</v>
      </c>
      <c r="P27" s="59">
        <f t="shared" si="11"/>
        <v>7827.8337208500006</v>
      </c>
      <c r="Q27" s="53">
        <v>16678.429144000002</v>
      </c>
      <c r="R27" s="46">
        <f t="shared" si="0"/>
        <v>34702.807519920803</v>
      </c>
      <c r="S27" s="54">
        <f t="shared" si="12"/>
        <v>2891.9006266600668</v>
      </c>
      <c r="T27" s="53">
        <v>15027.075292</v>
      </c>
      <c r="U27" s="46">
        <f t="shared" si="1"/>
        <v>31266.835560064403</v>
      </c>
      <c r="V27" s="54">
        <f t="shared" si="13"/>
        <v>2605.5696300053669</v>
      </c>
      <c r="W27" s="53">
        <v>20462.092348000002</v>
      </c>
      <c r="X27" s="46">
        <f t="shared" si="2"/>
        <v>42575.475548483606</v>
      </c>
      <c r="Y27" s="54">
        <f t="shared" si="14"/>
        <v>3547.956295706967</v>
      </c>
    </row>
    <row r="28" spans="1:25" s="40" customFormat="1" ht="12" x14ac:dyDescent="0.2">
      <c r="A28" s="50">
        <v>21</v>
      </c>
      <c r="B28" s="45">
        <v>19466.92988</v>
      </c>
      <c r="C28" s="46">
        <f t="shared" si="3"/>
        <v>40504.841001316003</v>
      </c>
      <c r="D28" s="52">
        <f t="shared" si="4"/>
        <v>3375.4034167763334</v>
      </c>
      <c r="E28" s="152">
        <v>1.56</v>
      </c>
      <c r="F28" s="59">
        <f t="shared" si="5"/>
        <v>5265.6293301710803</v>
      </c>
      <c r="G28" s="45">
        <v>27553.150300000001</v>
      </c>
      <c r="H28" s="46">
        <f t="shared" si="6"/>
        <v>57329.83982921001</v>
      </c>
      <c r="I28" s="52">
        <f t="shared" si="7"/>
        <v>4777.4866524341678</v>
      </c>
      <c r="J28" s="152">
        <v>1.56</v>
      </c>
      <c r="K28" s="59">
        <f t="shared" si="8"/>
        <v>7452.879177797302</v>
      </c>
      <c r="L28" s="45">
        <v>29809.11</v>
      </c>
      <c r="M28" s="46">
        <f t="shared" si="9"/>
        <v>62023.815177000004</v>
      </c>
      <c r="N28" s="54">
        <f t="shared" si="10"/>
        <v>5168.6512647500003</v>
      </c>
      <c r="O28" s="152">
        <v>1.56</v>
      </c>
      <c r="P28" s="59">
        <f t="shared" si="11"/>
        <v>8063.0959730100012</v>
      </c>
      <c r="Q28" s="53">
        <v>16835.959916</v>
      </c>
      <c r="R28" s="46">
        <f t="shared" si="0"/>
        <v>35030.581797221203</v>
      </c>
      <c r="S28" s="54">
        <f t="shared" si="12"/>
        <v>2919.2151497684335</v>
      </c>
      <c r="T28" s="53">
        <v>15097.116796000002</v>
      </c>
      <c r="U28" s="46">
        <f t="shared" si="1"/>
        <v>31412.570917437206</v>
      </c>
      <c r="V28" s="54">
        <f t="shared" si="13"/>
        <v>2617.7142431197672</v>
      </c>
      <c r="W28" s="53">
        <v>20779.689868000001</v>
      </c>
      <c r="X28" s="46">
        <f t="shared" si="2"/>
        <v>43236.300708347604</v>
      </c>
      <c r="Y28" s="54">
        <f t="shared" si="14"/>
        <v>3603.025059028967</v>
      </c>
    </row>
    <row r="29" spans="1:25" s="40" customFormat="1" ht="12" x14ac:dyDescent="0.2">
      <c r="A29" s="50">
        <v>22</v>
      </c>
      <c r="B29" s="45">
        <v>19635.392731999997</v>
      </c>
      <c r="C29" s="46">
        <f t="shared" si="3"/>
        <v>40855.3616574724</v>
      </c>
      <c r="D29" s="52">
        <f t="shared" si="4"/>
        <v>3404.6134714560335</v>
      </c>
      <c r="E29" s="152">
        <v>1.56</v>
      </c>
      <c r="F29" s="59">
        <f t="shared" si="5"/>
        <v>5311.1970154714127</v>
      </c>
      <c r="G29" s="45">
        <v>27553.150300000001</v>
      </c>
      <c r="H29" s="46">
        <f t="shared" si="6"/>
        <v>57329.83982921001</v>
      </c>
      <c r="I29" s="52">
        <f t="shared" si="7"/>
        <v>4777.4866524341678</v>
      </c>
      <c r="J29" s="152">
        <v>1.56</v>
      </c>
      <c r="K29" s="59">
        <f t="shared" si="8"/>
        <v>7452.879177797302</v>
      </c>
      <c r="L29" s="45">
        <v>29809.11</v>
      </c>
      <c r="M29" s="46">
        <f t="shared" si="9"/>
        <v>62023.815177000004</v>
      </c>
      <c r="N29" s="54">
        <f t="shared" si="10"/>
        <v>5168.6512647500003</v>
      </c>
      <c r="O29" s="152">
        <v>1.56</v>
      </c>
      <c r="P29" s="59">
        <f t="shared" si="11"/>
        <v>8063.0959730100012</v>
      </c>
      <c r="Q29" s="53">
        <v>16993.430687999997</v>
      </c>
      <c r="R29" s="46">
        <f t="shared" si="0"/>
        <v>35358.231232521597</v>
      </c>
      <c r="S29" s="54">
        <f t="shared" si="12"/>
        <v>2946.5192693767999</v>
      </c>
      <c r="T29" s="53">
        <v>15167.160688000002</v>
      </c>
      <c r="U29" s="46">
        <f t="shared" si="1"/>
        <v>31558.311243521606</v>
      </c>
      <c r="V29" s="54">
        <f t="shared" si="13"/>
        <v>2629.859270293467</v>
      </c>
      <c r="W29" s="53">
        <v>21097.297387999999</v>
      </c>
      <c r="X29" s="46">
        <f t="shared" si="2"/>
        <v>43897.146675211603</v>
      </c>
      <c r="Y29" s="54">
        <f t="shared" si="14"/>
        <v>3658.0955562676336</v>
      </c>
    </row>
    <row r="30" spans="1:25" s="40" customFormat="1" ht="12" x14ac:dyDescent="0.2">
      <c r="A30" s="50">
        <v>23</v>
      </c>
      <c r="B30" s="45">
        <v>19803.857971999998</v>
      </c>
      <c r="C30" s="46">
        <f t="shared" si="3"/>
        <v>41205.887282340402</v>
      </c>
      <c r="D30" s="52">
        <f t="shared" si="4"/>
        <v>3433.8239401950336</v>
      </c>
      <c r="E30" s="152">
        <v>1.56</v>
      </c>
      <c r="F30" s="59">
        <f t="shared" si="5"/>
        <v>5356.7653467042528</v>
      </c>
      <c r="G30" s="45">
        <v>28103.566072000001</v>
      </c>
      <c r="H30" s="46">
        <f t="shared" si="6"/>
        <v>58475.089926010412</v>
      </c>
      <c r="I30" s="52">
        <f t="shared" si="7"/>
        <v>4872.9241605008674</v>
      </c>
      <c r="J30" s="152">
        <v>1.56</v>
      </c>
      <c r="K30" s="59">
        <f t="shared" si="8"/>
        <v>7601.7616903813532</v>
      </c>
      <c r="L30" s="55">
        <v>30678.82</v>
      </c>
      <c r="M30" s="56">
        <f t="shared" si="9"/>
        <v>63833.420774000006</v>
      </c>
      <c r="N30" s="151">
        <f t="shared" si="10"/>
        <v>5319.4517311666668</v>
      </c>
      <c r="O30" s="152">
        <v>1.56</v>
      </c>
      <c r="P30" s="59">
        <f t="shared" si="11"/>
        <v>8298.3447006200004</v>
      </c>
      <c r="Q30" s="53">
        <v>17150.949072000003</v>
      </c>
      <c r="R30" s="46">
        <f t="shared" si="0"/>
        <v>35685.979734110413</v>
      </c>
      <c r="S30" s="54">
        <f t="shared" si="12"/>
        <v>2973.8316445092009</v>
      </c>
      <c r="T30" s="53">
        <v>15237.212191999999</v>
      </c>
      <c r="U30" s="46">
        <f t="shared" si="1"/>
        <v>31704.067407894403</v>
      </c>
      <c r="V30" s="54">
        <f t="shared" si="13"/>
        <v>2642.0056173245334</v>
      </c>
      <c r="W30" s="53">
        <v>21414.917296</v>
      </c>
      <c r="X30" s="46">
        <f t="shared" si="2"/>
        <v>44558.018417787207</v>
      </c>
      <c r="Y30" s="54">
        <f t="shared" si="14"/>
        <v>3713.1682014822672</v>
      </c>
    </row>
    <row r="31" spans="1:25" s="40" customFormat="1" ht="12" x14ac:dyDescent="0.2">
      <c r="A31" s="50">
        <v>24</v>
      </c>
      <c r="B31" s="45">
        <v>19973.019092000002</v>
      </c>
      <c r="C31" s="46">
        <f t="shared" si="3"/>
        <v>41557.860824724412</v>
      </c>
      <c r="D31" s="52">
        <f t="shared" si="4"/>
        <v>3463.1550687270342</v>
      </c>
      <c r="E31" s="152">
        <v>1.56</v>
      </c>
      <c r="F31" s="59">
        <f t="shared" si="5"/>
        <v>5402.5219072141736</v>
      </c>
      <c r="G31" s="45">
        <v>28103.566072000001</v>
      </c>
      <c r="H31" s="46">
        <f t="shared" si="6"/>
        <v>58475.089926010412</v>
      </c>
      <c r="I31" s="52">
        <f t="shared" si="7"/>
        <v>4872.9241605008674</v>
      </c>
      <c r="J31" s="152">
        <v>1.56</v>
      </c>
      <c r="K31" s="59">
        <f t="shared" si="8"/>
        <v>7601.7616903813532</v>
      </c>
      <c r="L31" s="45">
        <v>30678.82</v>
      </c>
      <c r="M31" s="46">
        <f t="shared" si="9"/>
        <v>63833.420774000006</v>
      </c>
      <c r="N31" s="54">
        <f t="shared" si="10"/>
        <v>5319.4517311666668</v>
      </c>
      <c r="O31" s="152">
        <v>1.56</v>
      </c>
      <c r="P31" s="59">
        <f t="shared" si="11"/>
        <v>8298.3447006200004</v>
      </c>
      <c r="Q31" s="53">
        <v>17308.449843999999</v>
      </c>
      <c r="R31" s="46">
        <f t="shared" si="0"/>
        <v>36013.691590410803</v>
      </c>
      <c r="S31" s="54">
        <f t="shared" si="12"/>
        <v>3001.140965867567</v>
      </c>
      <c r="T31" s="53">
        <v>15307.253696</v>
      </c>
      <c r="U31" s="46">
        <f t="shared" si="1"/>
        <v>31849.802765267203</v>
      </c>
      <c r="V31" s="54">
        <f t="shared" si="13"/>
        <v>2654.1502304389337</v>
      </c>
      <c r="W31" s="53">
        <v>21732.504816000001</v>
      </c>
      <c r="X31" s="46">
        <f t="shared" si="2"/>
        <v>45218.822770651204</v>
      </c>
      <c r="Y31" s="54">
        <f t="shared" si="14"/>
        <v>3768.2352308876002</v>
      </c>
    </row>
    <row r="32" spans="1:25" s="40" customFormat="1" ht="12" x14ac:dyDescent="0.2">
      <c r="A32" s="50">
        <v>25</v>
      </c>
      <c r="B32" s="45">
        <v>20147.139796000003</v>
      </c>
      <c r="C32" s="46">
        <f t="shared" si="3"/>
        <v>41920.153773537211</v>
      </c>
      <c r="D32" s="52">
        <f t="shared" si="4"/>
        <v>3493.3461477947676</v>
      </c>
      <c r="E32" s="152">
        <v>1.56</v>
      </c>
      <c r="F32" s="59">
        <f t="shared" si="5"/>
        <v>5449.6199905598378</v>
      </c>
      <c r="G32" s="45">
        <v>28654.004679999998</v>
      </c>
      <c r="H32" s="46">
        <f t="shared" si="6"/>
        <v>59620.387537676004</v>
      </c>
      <c r="I32" s="52">
        <f t="shared" si="7"/>
        <v>4968.365628139667</v>
      </c>
      <c r="J32" s="152">
        <v>1.56</v>
      </c>
      <c r="K32" s="59">
        <f t="shared" si="8"/>
        <v>7750.6503798978811</v>
      </c>
      <c r="L32" s="45">
        <v>30678.82</v>
      </c>
      <c r="M32" s="46">
        <f t="shared" si="9"/>
        <v>63833.420774000006</v>
      </c>
      <c r="N32" s="54">
        <f t="shared" si="10"/>
        <v>5319.4517311666668</v>
      </c>
      <c r="O32" s="152">
        <v>1.56</v>
      </c>
      <c r="P32" s="59">
        <f t="shared" si="11"/>
        <v>8298.3447006200004</v>
      </c>
      <c r="Q32" s="53">
        <v>17465.970615999999</v>
      </c>
      <c r="R32" s="46">
        <f t="shared" si="0"/>
        <v>36341.445060711201</v>
      </c>
      <c r="S32" s="54">
        <f t="shared" si="12"/>
        <v>3028.4537550592668</v>
      </c>
      <c r="T32" s="53">
        <v>15377.295199999997</v>
      </c>
      <c r="U32" s="46">
        <f t="shared" si="1"/>
        <v>31995.538122639995</v>
      </c>
      <c r="V32" s="54">
        <f t="shared" si="13"/>
        <v>2666.2948435533331</v>
      </c>
      <c r="W32" s="53">
        <v>22050.122336</v>
      </c>
      <c r="X32" s="46">
        <f t="shared" si="2"/>
        <v>45879.689544515204</v>
      </c>
      <c r="Y32" s="54">
        <f t="shared" si="14"/>
        <v>3823.3074620429338</v>
      </c>
    </row>
    <row r="33" spans="1:25" s="40" customFormat="1" ht="12" x14ac:dyDescent="0.2">
      <c r="A33" s="50">
        <v>26</v>
      </c>
      <c r="B33" s="45">
        <v>20318.970708000001</v>
      </c>
      <c r="C33" s="46">
        <f t="shared" si="3"/>
        <v>42277.682352135605</v>
      </c>
      <c r="D33" s="52">
        <f t="shared" si="4"/>
        <v>3523.1401960113003</v>
      </c>
      <c r="E33" s="152">
        <v>1.56</v>
      </c>
      <c r="F33" s="59">
        <f t="shared" si="5"/>
        <v>5496.0987057776283</v>
      </c>
      <c r="G33" s="45">
        <v>28654.007067999999</v>
      </c>
      <c r="H33" s="46">
        <f t="shared" si="6"/>
        <v>59620.392506387601</v>
      </c>
      <c r="I33" s="52">
        <f t="shared" si="7"/>
        <v>4968.3660421989671</v>
      </c>
      <c r="J33" s="152">
        <v>1.56</v>
      </c>
      <c r="K33" s="59">
        <f t="shared" si="8"/>
        <v>7750.6510258303888</v>
      </c>
      <c r="L33" s="45">
        <v>30678.82</v>
      </c>
      <c r="M33" s="46">
        <f t="shared" si="9"/>
        <v>63833.420774000006</v>
      </c>
      <c r="N33" s="54">
        <f t="shared" si="10"/>
        <v>5319.4517311666668</v>
      </c>
      <c r="O33" s="152">
        <v>1.56</v>
      </c>
      <c r="P33" s="59">
        <f t="shared" si="11"/>
        <v>8298.3447006200004</v>
      </c>
      <c r="Q33" s="53">
        <v>17623.451387999998</v>
      </c>
      <c r="R33" s="46">
        <f t="shared" si="0"/>
        <v>36669.115303011597</v>
      </c>
      <c r="S33" s="54">
        <f t="shared" si="12"/>
        <v>3055.7596085842997</v>
      </c>
      <c r="T33" s="53">
        <v>15447.356704000002</v>
      </c>
      <c r="U33" s="46">
        <f t="shared" si="1"/>
        <v>32141.315094012807</v>
      </c>
      <c r="V33" s="54">
        <f t="shared" si="13"/>
        <v>2678.4429245010674</v>
      </c>
      <c r="W33" s="53">
        <v>22367.712244000002</v>
      </c>
      <c r="X33" s="46">
        <f t="shared" si="2"/>
        <v>46540.498866090806</v>
      </c>
      <c r="Y33" s="54">
        <f t="shared" si="14"/>
        <v>3878.3749055075673</v>
      </c>
    </row>
    <row r="34" spans="1:25" s="40" customFormat="1" ht="12" x14ac:dyDescent="0.2">
      <c r="A34" s="50">
        <v>27</v>
      </c>
      <c r="B34" s="45">
        <v>20490.761619999997</v>
      </c>
      <c r="C34" s="46">
        <f t="shared" si="3"/>
        <v>42635.127702733997</v>
      </c>
      <c r="D34" s="52">
        <f t="shared" si="4"/>
        <v>3552.9273085611662</v>
      </c>
      <c r="E34" s="152">
        <v>1.56</v>
      </c>
      <c r="F34" s="59">
        <f t="shared" si="5"/>
        <v>5542.5666013554192</v>
      </c>
      <c r="G34" s="45">
        <v>29204.432840000001</v>
      </c>
      <c r="H34" s="46">
        <f t="shared" si="6"/>
        <v>60765.663410188012</v>
      </c>
      <c r="I34" s="52">
        <f t="shared" si="7"/>
        <v>5063.8052841823346</v>
      </c>
      <c r="J34" s="152">
        <v>1.56</v>
      </c>
      <c r="K34" s="59">
        <f t="shared" si="8"/>
        <v>7899.5362433244427</v>
      </c>
      <c r="L34" s="45">
        <v>30678.82</v>
      </c>
      <c r="M34" s="46">
        <f t="shared" si="9"/>
        <v>63833.420774000006</v>
      </c>
      <c r="N34" s="54">
        <f t="shared" si="10"/>
        <v>5319.4517311666668</v>
      </c>
      <c r="O34" s="152">
        <v>1.56</v>
      </c>
      <c r="P34" s="59">
        <f t="shared" si="11"/>
        <v>8298.3447006200004</v>
      </c>
      <c r="Q34" s="53">
        <v>17780.992160000002</v>
      </c>
      <c r="R34" s="46">
        <f t="shared" si="0"/>
        <v>36996.910387312004</v>
      </c>
      <c r="S34" s="54">
        <f t="shared" si="12"/>
        <v>3083.0758656093335</v>
      </c>
      <c r="T34" s="55">
        <v>15517.400596000001</v>
      </c>
      <c r="U34" s="56">
        <f t="shared" si="1"/>
        <v>32287.055420097207</v>
      </c>
      <c r="V34" s="151">
        <f t="shared" si="13"/>
        <v>2690.5879516747673</v>
      </c>
      <c r="W34" s="53">
        <v>22685.349763999999</v>
      </c>
      <c r="X34" s="46">
        <f t="shared" si="2"/>
        <v>47201.4072539548</v>
      </c>
      <c r="Y34" s="54">
        <f t="shared" si="14"/>
        <v>3933.4506044962332</v>
      </c>
    </row>
    <row r="35" spans="1:25" s="40" customFormat="1" ht="12" x14ac:dyDescent="0.2">
      <c r="A35" s="50">
        <v>28</v>
      </c>
      <c r="B35" s="45">
        <v>20662.612531999999</v>
      </c>
      <c r="C35" s="46">
        <f t="shared" si="3"/>
        <v>42992.6978953324</v>
      </c>
      <c r="D35" s="52">
        <f t="shared" si="4"/>
        <v>3582.7248246110335</v>
      </c>
      <c r="E35" s="152">
        <v>1.56</v>
      </c>
      <c r="F35" s="59">
        <f t="shared" si="5"/>
        <v>5589.0507263932122</v>
      </c>
      <c r="G35" s="45">
        <v>29204.432840000001</v>
      </c>
      <c r="H35" s="46">
        <f t="shared" si="6"/>
        <v>60765.663410188012</v>
      </c>
      <c r="I35" s="52">
        <f t="shared" si="7"/>
        <v>5063.8052841823346</v>
      </c>
      <c r="J35" s="152">
        <v>1.56</v>
      </c>
      <c r="K35" s="59">
        <f t="shared" si="8"/>
        <v>7899.5362433244427</v>
      </c>
      <c r="L35" s="45">
        <v>30678.82</v>
      </c>
      <c r="M35" s="46">
        <f t="shared" si="9"/>
        <v>63833.420774000006</v>
      </c>
      <c r="N35" s="54">
        <f t="shared" si="10"/>
        <v>5319.4517311666668</v>
      </c>
      <c r="O35" s="152">
        <v>1.56</v>
      </c>
      <c r="P35" s="59">
        <f t="shared" si="11"/>
        <v>8298.3447006200004</v>
      </c>
      <c r="Q35" s="53">
        <v>17938.490544</v>
      </c>
      <c r="R35" s="46">
        <f t="shared" si="0"/>
        <v>37324.617274900804</v>
      </c>
      <c r="S35" s="54">
        <f t="shared" si="12"/>
        <v>3110.3847729084005</v>
      </c>
      <c r="T35" s="53">
        <f>T34</f>
        <v>15517.400596000001</v>
      </c>
      <c r="U35" s="46">
        <f t="shared" ref="U35:U47" si="15">U34</f>
        <v>32287.055420097207</v>
      </c>
      <c r="V35" s="54">
        <f t="shared" si="13"/>
        <v>2690.5879516747673</v>
      </c>
      <c r="W35" s="53">
        <v>23002.917284000003</v>
      </c>
      <c r="X35" s="46">
        <f t="shared" si="2"/>
        <v>47862.16999281881</v>
      </c>
      <c r="Y35" s="54">
        <f t="shared" si="14"/>
        <v>3988.5141660682343</v>
      </c>
    </row>
    <row r="36" spans="1:25" s="40" customFormat="1" ht="12" x14ac:dyDescent="0.2">
      <c r="A36" s="50">
        <v>29</v>
      </c>
      <c r="B36" s="45">
        <v>20834.413444000002</v>
      </c>
      <c r="C36" s="46">
        <f t="shared" si="3"/>
        <v>43350.164052930806</v>
      </c>
      <c r="D36" s="52">
        <f t="shared" si="4"/>
        <v>3612.5136710775673</v>
      </c>
      <c r="E36" s="152">
        <v>1.56</v>
      </c>
      <c r="F36" s="59">
        <f t="shared" si="5"/>
        <v>5635.5213268810048</v>
      </c>
      <c r="G36" s="45">
        <v>29278.422632000002</v>
      </c>
      <c r="H36" s="56">
        <f t="shared" si="6"/>
        <v>60919.61397040241</v>
      </c>
      <c r="I36" s="57">
        <f t="shared" si="7"/>
        <v>5076.6344975335342</v>
      </c>
      <c r="J36" s="152">
        <v>1.56</v>
      </c>
      <c r="K36" s="59">
        <f t="shared" si="8"/>
        <v>7919.5498161523137</v>
      </c>
      <c r="L36" s="45">
        <v>30678.82</v>
      </c>
      <c r="M36" s="46">
        <f t="shared" si="9"/>
        <v>63833.420774000006</v>
      </c>
      <c r="N36" s="54">
        <f t="shared" si="10"/>
        <v>5319.4517311666668</v>
      </c>
      <c r="O36" s="152">
        <v>1.56</v>
      </c>
      <c r="P36" s="59">
        <f t="shared" si="11"/>
        <v>8298.3447006200004</v>
      </c>
      <c r="Q36" s="55">
        <v>18095.991316</v>
      </c>
      <c r="R36" s="56">
        <f t="shared" si="0"/>
        <v>37652.329131201201</v>
      </c>
      <c r="S36" s="151">
        <f t="shared" si="12"/>
        <v>3137.6940942667666</v>
      </c>
      <c r="T36" s="53">
        <f t="shared" ref="T36:T47" si="16">T35</f>
        <v>15517.400596000001</v>
      </c>
      <c r="U36" s="46">
        <f t="shared" si="15"/>
        <v>32287.055420097207</v>
      </c>
      <c r="V36" s="54">
        <f t="shared" si="13"/>
        <v>2690.5879516747673</v>
      </c>
      <c r="W36" s="53">
        <v>23320.527191999998</v>
      </c>
      <c r="X36" s="61">
        <f t="shared" si="2"/>
        <v>48523.020928394399</v>
      </c>
      <c r="Y36" s="151">
        <f t="shared" si="14"/>
        <v>4043.5850773662</v>
      </c>
    </row>
    <row r="37" spans="1:25" s="40" customFormat="1" ht="12" x14ac:dyDescent="0.2">
      <c r="A37" s="50">
        <v>30</v>
      </c>
      <c r="B37" s="45">
        <v>20834.413444000002</v>
      </c>
      <c r="C37" s="46">
        <f t="shared" si="3"/>
        <v>43350.164052930806</v>
      </c>
      <c r="D37" s="52">
        <f t="shared" si="4"/>
        <v>3612.5136710775673</v>
      </c>
      <c r="E37" s="152">
        <v>1.56</v>
      </c>
      <c r="F37" s="59">
        <f t="shared" si="5"/>
        <v>5635.5213268810048</v>
      </c>
      <c r="G37" s="45">
        <f t="shared" ref="G37:G38" si="17">G36</f>
        <v>29278.422632000002</v>
      </c>
      <c r="H37" s="59">
        <f t="shared" ref="H37:H47" si="18">H36</f>
        <v>60919.61397040241</v>
      </c>
      <c r="I37" s="52">
        <f t="shared" si="7"/>
        <v>5076.6344975335342</v>
      </c>
      <c r="J37" s="152">
        <v>1.56</v>
      </c>
      <c r="K37" s="59">
        <f t="shared" si="8"/>
        <v>7919.5498161523137</v>
      </c>
      <c r="L37" s="45">
        <v>30678.82</v>
      </c>
      <c r="M37" s="46">
        <f t="shared" si="9"/>
        <v>63833.420774000006</v>
      </c>
      <c r="N37" s="54">
        <f t="shared" si="10"/>
        <v>5319.4517311666668</v>
      </c>
      <c r="O37" s="152">
        <v>1.56</v>
      </c>
      <c r="P37" s="59">
        <f t="shared" si="11"/>
        <v>8298.3447006200004</v>
      </c>
      <c r="Q37" s="53">
        <f>Q36</f>
        <v>18095.991316</v>
      </c>
      <c r="R37" s="46">
        <f t="shared" ref="R37:R47" si="19">R36</f>
        <v>37652.329131201201</v>
      </c>
      <c r="S37" s="54">
        <f t="shared" si="12"/>
        <v>3137.6940942667666</v>
      </c>
      <c r="T37" s="53">
        <f t="shared" si="16"/>
        <v>15517.400596000001</v>
      </c>
      <c r="U37" s="46">
        <f t="shared" si="15"/>
        <v>32287.055420097207</v>
      </c>
      <c r="V37" s="54">
        <f t="shared" si="13"/>
        <v>2690.5879516747673</v>
      </c>
      <c r="W37" s="53">
        <f t="shared" ref="W37:W47" si="20">W36</f>
        <v>23320.527191999998</v>
      </c>
      <c r="X37" s="46">
        <f t="shared" ref="X37:X47" si="21">X36</f>
        <v>48523.020928394399</v>
      </c>
      <c r="Y37" s="54">
        <f t="shared" si="14"/>
        <v>4043.5850773662</v>
      </c>
    </row>
    <row r="38" spans="1:25" s="40" customFormat="1" ht="12" x14ac:dyDescent="0.2">
      <c r="A38" s="50">
        <v>31</v>
      </c>
      <c r="B38" s="55">
        <v>20912.47</v>
      </c>
      <c r="C38" s="56">
        <f t="shared" si="3"/>
        <v>43512.57632900001</v>
      </c>
      <c r="D38" s="57">
        <f t="shared" si="4"/>
        <v>3626.0480274166675</v>
      </c>
      <c r="E38" s="152">
        <v>1.56</v>
      </c>
      <c r="F38" s="59">
        <f t="shared" si="5"/>
        <v>5656.6349227700011</v>
      </c>
      <c r="G38" s="45">
        <f t="shared" si="17"/>
        <v>29278.422632000002</v>
      </c>
      <c r="H38" s="59">
        <f t="shared" si="18"/>
        <v>60919.61397040241</v>
      </c>
      <c r="I38" s="52">
        <f t="shared" si="7"/>
        <v>5076.6344975335342</v>
      </c>
      <c r="J38" s="152">
        <v>1.56</v>
      </c>
      <c r="K38" s="59">
        <f t="shared" si="8"/>
        <v>7919.5498161523137</v>
      </c>
      <c r="L38" s="45">
        <v>30678.82</v>
      </c>
      <c r="M38" s="46">
        <f t="shared" si="9"/>
        <v>63833.420774000006</v>
      </c>
      <c r="N38" s="54">
        <f t="shared" si="10"/>
        <v>5319.4517311666668</v>
      </c>
      <c r="O38" s="152">
        <v>1.56</v>
      </c>
      <c r="P38" s="59">
        <f t="shared" si="11"/>
        <v>8298.3447006200004</v>
      </c>
      <c r="Q38" s="53">
        <f t="shared" ref="Q38:Q47" si="22">Q37</f>
        <v>18095.991316</v>
      </c>
      <c r="R38" s="46">
        <f t="shared" si="19"/>
        <v>37652.329131201201</v>
      </c>
      <c r="S38" s="54">
        <f t="shared" si="12"/>
        <v>3137.6940942667666</v>
      </c>
      <c r="T38" s="53">
        <f t="shared" si="16"/>
        <v>15517.400596000001</v>
      </c>
      <c r="U38" s="46">
        <f t="shared" si="15"/>
        <v>32287.055420097207</v>
      </c>
      <c r="V38" s="54">
        <f t="shared" si="13"/>
        <v>2690.5879516747673</v>
      </c>
      <c r="W38" s="53">
        <f t="shared" si="20"/>
        <v>23320.527191999998</v>
      </c>
      <c r="X38" s="46">
        <f t="shared" si="21"/>
        <v>48523.020928394399</v>
      </c>
      <c r="Y38" s="54">
        <f t="shared" si="14"/>
        <v>4043.5850773662</v>
      </c>
    </row>
    <row r="39" spans="1:25" s="40" customFormat="1" ht="12" x14ac:dyDescent="0.2">
      <c r="A39" s="50">
        <v>32</v>
      </c>
      <c r="B39" s="53">
        <f>B38</f>
        <v>20912.47</v>
      </c>
      <c r="C39" s="46">
        <f t="shared" ref="C39:C47" si="23">C38</f>
        <v>43512.57632900001</v>
      </c>
      <c r="D39" s="52">
        <f t="shared" si="4"/>
        <v>3626.0480274166675</v>
      </c>
      <c r="E39" s="152">
        <v>1.56</v>
      </c>
      <c r="F39" s="59">
        <f t="shared" si="5"/>
        <v>5656.6349227700011</v>
      </c>
      <c r="G39" s="45">
        <f>G38</f>
        <v>29278.422632000002</v>
      </c>
      <c r="H39" s="59">
        <f t="shared" si="18"/>
        <v>60919.61397040241</v>
      </c>
      <c r="I39" s="52">
        <f t="shared" si="7"/>
        <v>5076.6344975335342</v>
      </c>
      <c r="J39" s="152">
        <v>1.56</v>
      </c>
      <c r="K39" s="59">
        <f t="shared" si="8"/>
        <v>7919.5498161523137</v>
      </c>
      <c r="L39" s="45">
        <v>30678.82</v>
      </c>
      <c r="M39" s="46">
        <f t="shared" si="9"/>
        <v>63833.420774000006</v>
      </c>
      <c r="N39" s="54">
        <f t="shared" si="10"/>
        <v>5319.4517311666668</v>
      </c>
      <c r="O39" s="152">
        <v>1.56</v>
      </c>
      <c r="P39" s="59">
        <f t="shared" si="11"/>
        <v>8298.3447006200004</v>
      </c>
      <c r="Q39" s="53">
        <f t="shared" si="22"/>
        <v>18095.991316</v>
      </c>
      <c r="R39" s="46">
        <f t="shared" si="19"/>
        <v>37652.329131201201</v>
      </c>
      <c r="S39" s="54">
        <f t="shared" si="12"/>
        <v>3137.6940942667666</v>
      </c>
      <c r="T39" s="53">
        <f t="shared" si="16"/>
        <v>15517.400596000001</v>
      </c>
      <c r="U39" s="46">
        <f t="shared" si="15"/>
        <v>32287.055420097207</v>
      </c>
      <c r="V39" s="54">
        <f t="shared" si="13"/>
        <v>2690.5879516747673</v>
      </c>
      <c r="W39" s="53">
        <f t="shared" si="20"/>
        <v>23320.527191999998</v>
      </c>
      <c r="X39" s="46">
        <f t="shared" si="21"/>
        <v>48523.020928394399</v>
      </c>
      <c r="Y39" s="54">
        <f t="shared" si="14"/>
        <v>4043.5850773662</v>
      </c>
    </row>
    <row r="40" spans="1:25" s="40" customFormat="1" ht="12" x14ac:dyDescent="0.2">
      <c r="A40" s="50">
        <v>33</v>
      </c>
      <c r="B40" s="53">
        <f t="shared" ref="B40:B47" si="24">B39</f>
        <v>20912.47</v>
      </c>
      <c r="C40" s="46">
        <f t="shared" si="23"/>
        <v>43512.57632900001</v>
      </c>
      <c r="D40" s="52">
        <f t="shared" si="4"/>
        <v>3626.0480274166675</v>
      </c>
      <c r="E40" s="152">
        <v>1.56</v>
      </c>
      <c r="F40" s="59">
        <f t="shared" si="5"/>
        <v>5656.6349227700011</v>
      </c>
      <c r="G40" s="45">
        <f t="shared" ref="G40:G47" si="25">G39</f>
        <v>29278.422632000002</v>
      </c>
      <c r="H40" s="59">
        <f t="shared" si="18"/>
        <v>60919.61397040241</v>
      </c>
      <c r="I40" s="52">
        <f t="shared" si="7"/>
        <v>5076.6344975335342</v>
      </c>
      <c r="J40" s="152">
        <v>1.56</v>
      </c>
      <c r="K40" s="59">
        <f t="shared" si="8"/>
        <v>7919.5498161523137</v>
      </c>
      <c r="L40" s="45">
        <v>30678.82</v>
      </c>
      <c r="M40" s="46">
        <f t="shared" si="9"/>
        <v>63833.420774000006</v>
      </c>
      <c r="N40" s="54">
        <f t="shared" si="10"/>
        <v>5319.4517311666668</v>
      </c>
      <c r="O40" s="152">
        <v>1.56</v>
      </c>
      <c r="P40" s="59">
        <f t="shared" si="11"/>
        <v>8298.3447006200004</v>
      </c>
      <c r="Q40" s="53">
        <f t="shared" si="22"/>
        <v>18095.991316</v>
      </c>
      <c r="R40" s="46">
        <f t="shared" si="19"/>
        <v>37652.329131201201</v>
      </c>
      <c r="S40" s="54">
        <f t="shared" si="12"/>
        <v>3137.6940942667666</v>
      </c>
      <c r="T40" s="53">
        <f t="shared" si="16"/>
        <v>15517.400596000001</v>
      </c>
      <c r="U40" s="46">
        <f t="shared" si="15"/>
        <v>32287.055420097207</v>
      </c>
      <c r="V40" s="54">
        <f t="shared" si="13"/>
        <v>2690.5879516747673</v>
      </c>
      <c r="W40" s="53">
        <f t="shared" si="20"/>
        <v>23320.527191999998</v>
      </c>
      <c r="X40" s="46">
        <f t="shared" si="21"/>
        <v>48523.020928394399</v>
      </c>
      <c r="Y40" s="54">
        <f t="shared" si="14"/>
        <v>4043.5850773662</v>
      </c>
    </row>
    <row r="41" spans="1:25" s="40" customFormat="1" ht="12" x14ac:dyDescent="0.2">
      <c r="A41" s="50">
        <v>34</v>
      </c>
      <c r="B41" s="53">
        <f t="shared" si="24"/>
        <v>20912.47</v>
      </c>
      <c r="C41" s="46">
        <f t="shared" si="23"/>
        <v>43512.57632900001</v>
      </c>
      <c r="D41" s="52">
        <f t="shared" si="4"/>
        <v>3626.0480274166675</v>
      </c>
      <c r="E41" s="152">
        <v>1.56</v>
      </c>
      <c r="F41" s="59">
        <f t="shared" si="5"/>
        <v>5656.6349227700011</v>
      </c>
      <c r="G41" s="45">
        <f t="shared" si="25"/>
        <v>29278.422632000002</v>
      </c>
      <c r="H41" s="59">
        <f t="shared" si="18"/>
        <v>60919.61397040241</v>
      </c>
      <c r="I41" s="52">
        <f t="shared" si="7"/>
        <v>5076.6344975335342</v>
      </c>
      <c r="J41" s="152">
        <v>1.56</v>
      </c>
      <c r="K41" s="59">
        <f t="shared" si="8"/>
        <v>7919.5498161523137</v>
      </c>
      <c r="L41" s="45">
        <v>30678.82</v>
      </c>
      <c r="M41" s="46">
        <f t="shared" si="9"/>
        <v>63833.420774000006</v>
      </c>
      <c r="N41" s="54">
        <f t="shared" si="10"/>
        <v>5319.4517311666668</v>
      </c>
      <c r="O41" s="152">
        <v>1.56</v>
      </c>
      <c r="P41" s="59">
        <f t="shared" si="11"/>
        <v>8298.3447006200004</v>
      </c>
      <c r="Q41" s="53">
        <f t="shared" si="22"/>
        <v>18095.991316</v>
      </c>
      <c r="R41" s="46">
        <f t="shared" si="19"/>
        <v>37652.329131201201</v>
      </c>
      <c r="S41" s="54">
        <f t="shared" si="12"/>
        <v>3137.6940942667666</v>
      </c>
      <c r="T41" s="53">
        <f t="shared" si="16"/>
        <v>15517.400596000001</v>
      </c>
      <c r="U41" s="46">
        <f t="shared" si="15"/>
        <v>32287.055420097207</v>
      </c>
      <c r="V41" s="54">
        <f t="shared" si="13"/>
        <v>2690.5879516747673</v>
      </c>
      <c r="W41" s="53">
        <f t="shared" si="20"/>
        <v>23320.527191999998</v>
      </c>
      <c r="X41" s="46">
        <f t="shared" si="21"/>
        <v>48523.020928394399</v>
      </c>
      <c r="Y41" s="54">
        <f t="shared" si="14"/>
        <v>4043.5850773662</v>
      </c>
    </row>
    <row r="42" spans="1:25" s="40" customFormat="1" ht="12" x14ac:dyDescent="0.2">
      <c r="A42" s="50">
        <v>35</v>
      </c>
      <c r="B42" s="53">
        <f t="shared" si="24"/>
        <v>20912.47</v>
      </c>
      <c r="C42" s="46">
        <f t="shared" si="23"/>
        <v>43512.57632900001</v>
      </c>
      <c r="D42" s="52">
        <f t="shared" si="4"/>
        <v>3626.0480274166675</v>
      </c>
      <c r="E42" s="152">
        <v>1.56</v>
      </c>
      <c r="F42" s="59">
        <f t="shared" si="5"/>
        <v>5656.6349227700011</v>
      </c>
      <c r="G42" s="45">
        <f t="shared" si="25"/>
        <v>29278.422632000002</v>
      </c>
      <c r="H42" s="59">
        <f t="shared" si="18"/>
        <v>60919.61397040241</v>
      </c>
      <c r="I42" s="52">
        <f t="shared" si="7"/>
        <v>5076.6344975335342</v>
      </c>
      <c r="J42" s="152">
        <v>1.56</v>
      </c>
      <c r="K42" s="59">
        <f t="shared" si="8"/>
        <v>7919.5498161523137</v>
      </c>
      <c r="L42" s="45">
        <v>30678.82</v>
      </c>
      <c r="M42" s="46">
        <f t="shared" si="9"/>
        <v>63833.420774000006</v>
      </c>
      <c r="N42" s="54">
        <f t="shared" si="10"/>
        <v>5319.4517311666668</v>
      </c>
      <c r="O42" s="152">
        <v>1.56</v>
      </c>
      <c r="P42" s="59">
        <f t="shared" si="11"/>
        <v>8298.3447006200004</v>
      </c>
      <c r="Q42" s="53">
        <f t="shared" si="22"/>
        <v>18095.991316</v>
      </c>
      <c r="R42" s="46">
        <f t="shared" si="19"/>
        <v>37652.329131201201</v>
      </c>
      <c r="S42" s="54">
        <f t="shared" si="12"/>
        <v>3137.6940942667666</v>
      </c>
      <c r="T42" s="53">
        <f t="shared" si="16"/>
        <v>15517.400596000001</v>
      </c>
      <c r="U42" s="46">
        <f t="shared" si="15"/>
        <v>32287.055420097207</v>
      </c>
      <c r="V42" s="54">
        <f t="shared" si="13"/>
        <v>2690.5879516747673</v>
      </c>
      <c r="W42" s="53">
        <f t="shared" si="20"/>
        <v>23320.527191999998</v>
      </c>
      <c r="X42" s="46">
        <f t="shared" si="21"/>
        <v>48523.020928394399</v>
      </c>
      <c r="Y42" s="54">
        <f t="shared" si="14"/>
        <v>4043.5850773662</v>
      </c>
    </row>
    <row r="43" spans="1:25" s="40" customFormat="1" ht="12" x14ac:dyDescent="0.2">
      <c r="A43" s="50">
        <v>36</v>
      </c>
      <c r="B43" s="53">
        <f t="shared" si="24"/>
        <v>20912.47</v>
      </c>
      <c r="C43" s="46">
        <f t="shared" si="23"/>
        <v>43512.57632900001</v>
      </c>
      <c r="D43" s="52">
        <f t="shared" si="4"/>
        <v>3626.0480274166675</v>
      </c>
      <c r="E43" s="152">
        <v>1.56</v>
      </c>
      <c r="F43" s="59">
        <f t="shared" si="5"/>
        <v>5656.6349227700011</v>
      </c>
      <c r="G43" s="45">
        <f t="shared" si="25"/>
        <v>29278.422632000002</v>
      </c>
      <c r="H43" s="59">
        <f t="shared" si="18"/>
        <v>60919.61397040241</v>
      </c>
      <c r="I43" s="52">
        <f t="shared" si="7"/>
        <v>5076.6344975335342</v>
      </c>
      <c r="J43" s="152">
        <v>1.56</v>
      </c>
      <c r="K43" s="59">
        <f t="shared" si="8"/>
        <v>7919.5498161523137</v>
      </c>
      <c r="L43" s="45">
        <v>30678.82</v>
      </c>
      <c r="M43" s="46">
        <f t="shared" si="9"/>
        <v>63833.420774000006</v>
      </c>
      <c r="N43" s="54">
        <f t="shared" si="10"/>
        <v>5319.4517311666668</v>
      </c>
      <c r="O43" s="152">
        <v>1.56</v>
      </c>
      <c r="P43" s="59">
        <f t="shared" si="11"/>
        <v>8298.3447006200004</v>
      </c>
      <c r="Q43" s="53">
        <f t="shared" si="22"/>
        <v>18095.991316</v>
      </c>
      <c r="R43" s="46">
        <f t="shared" si="19"/>
        <v>37652.329131201201</v>
      </c>
      <c r="S43" s="54">
        <f t="shared" si="12"/>
        <v>3137.6940942667666</v>
      </c>
      <c r="T43" s="53">
        <f t="shared" si="16"/>
        <v>15517.400596000001</v>
      </c>
      <c r="U43" s="46">
        <f t="shared" si="15"/>
        <v>32287.055420097207</v>
      </c>
      <c r="V43" s="54">
        <f t="shared" si="13"/>
        <v>2690.5879516747673</v>
      </c>
      <c r="W43" s="53">
        <f t="shared" si="20"/>
        <v>23320.527191999998</v>
      </c>
      <c r="X43" s="46">
        <f t="shared" si="21"/>
        <v>48523.020928394399</v>
      </c>
      <c r="Y43" s="54">
        <f t="shared" si="14"/>
        <v>4043.5850773662</v>
      </c>
    </row>
    <row r="44" spans="1:25" s="40" customFormat="1" ht="12" x14ac:dyDescent="0.2">
      <c r="A44" s="50">
        <v>37</v>
      </c>
      <c r="B44" s="53">
        <f t="shared" si="24"/>
        <v>20912.47</v>
      </c>
      <c r="C44" s="46">
        <f t="shared" si="23"/>
        <v>43512.57632900001</v>
      </c>
      <c r="D44" s="52">
        <f t="shared" si="4"/>
        <v>3626.0480274166675</v>
      </c>
      <c r="E44" s="152">
        <v>1.56</v>
      </c>
      <c r="F44" s="59">
        <f t="shared" si="5"/>
        <v>5656.6349227700011</v>
      </c>
      <c r="G44" s="45">
        <f t="shared" si="25"/>
        <v>29278.422632000002</v>
      </c>
      <c r="H44" s="59">
        <f t="shared" si="18"/>
        <v>60919.61397040241</v>
      </c>
      <c r="I44" s="52">
        <f t="shared" si="7"/>
        <v>5076.6344975335342</v>
      </c>
      <c r="J44" s="152">
        <v>1.56</v>
      </c>
      <c r="K44" s="59">
        <f t="shared" si="8"/>
        <v>7919.5498161523137</v>
      </c>
      <c r="L44" s="45">
        <v>30678.82</v>
      </c>
      <c r="M44" s="46">
        <f t="shared" si="9"/>
        <v>63833.420774000006</v>
      </c>
      <c r="N44" s="54">
        <f t="shared" si="10"/>
        <v>5319.4517311666668</v>
      </c>
      <c r="O44" s="152">
        <v>1.56</v>
      </c>
      <c r="P44" s="59">
        <f t="shared" si="11"/>
        <v>8298.3447006200004</v>
      </c>
      <c r="Q44" s="53">
        <f t="shared" si="22"/>
        <v>18095.991316</v>
      </c>
      <c r="R44" s="46">
        <f t="shared" si="19"/>
        <v>37652.329131201201</v>
      </c>
      <c r="S44" s="54">
        <f t="shared" si="12"/>
        <v>3137.6940942667666</v>
      </c>
      <c r="T44" s="53">
        <f t="shared" si="16"/>
        <v>15517.400596000001</v>
      </c>
      <c r="U44" s="46">
        <f t="shared" si="15"/>
        <v>32287.055420097207</v>
      </c>
      <c r="V44" s="54">
        <f t="shared" si="13"/>
        <v>2690.5879516747673</v>
      </c>
      <c r="W44" s="53">
        <f t="shared" si="20"/>
        <v>23320.527191999998</v>
      </c>
      <c r="X44" s="46">
        <f t="shared" si="21"/>
        <v>48523.020928394399</v>
      </c>
      <c r="Y44" s="54">
        <f t="shared" si="14"/>
        <v>4043.5850773662</v>
      </c>
    </row>
    <row r="45" spans="1:25" s="40" customFormat="1" ht="12" x14ac:dyDescent="0.2">
      <c r="A45" s="50">
        <v>38</v>
      </c>
      <c r="B45" s="53">
        <f t="shared" si="24"/>
        <v>20912.47</v>
      </c>
      <c r="C45" s="46">
        <f t="shared" si="23"/>
        <v>43512.57632900001</v>
      </c>
      <c r="D45" s="52">
        <f t="shared" si="4"/>
        <v>3626.0480274166675</v>
      </c>
      <c r="E45" s="152">
        <v>1.56</v>
      </c>
      <c r="F45" s="59">
        <f t="shared" si="5"/>
        <v>5656.6349227700011</v>
      </c>
      <c r="G45" s="45">
        <f t="shared" si="25"/>
        <v>29278.422632000002</v>
      </c>
      <c r="H45" s="59">
        <f t="shared" si="18"/>
        <v>60919.61397040241</v>
      </c>
      <c r="I45" s="52">
        <f t="shared" si="7"/>
        <v>5076.6344975335342</v>
      </c>
      <c r="J45" s="152">
        <v>1.56</v>
      </c>
      <c r="K45" s="59">
        <f t="shared" si="8"/>
        <v>7919.5498161523137</v>
      </c>
      <c r="L45" s="45">
        <v>30678.82</v>
      </c>
      <c r="M45" s="46">
        <f t="shared" si="9"/>
        <v>63833.420774000006</v>
      </c>
      <c r="N45" s="54">
        <f t="shared" si="10"/>
        <v>5319.4517311666668</v>
      </c>
      <c r="O45" s="152">
        <v>1.56</v>
      </c>
      <c r="P45" s="59">
        <f t="shared" si="11"/>
        <v>8298.3447006200004</v>
      </c>
      <c r="Q45" s="53">
        <f t="shared" si="22"/>
        <v>18095.991316</v>
      </c>
      <c r="R45" s="46">
        <f t="shared" si="19"/>
        <v>37652.329131201201</v>
      </c>
      <c r="S45" s="54">
        <f t="shared" si="12"/>
        <v>3137.6940942667666</v>
      </c>
      <c r="T45" s="53">
        <f t="shared" si="16"/>
        <v>15517.400596000001</v>
      </c>
      <c r="U45" s="46">
        <f t="shared" si="15"/>
        <v>32287.055420097207</v>
      </c>
      <c r="V45" s="54">
        <f t="shared" si="13"/>
        <v>2690.5879516747673</v>
      </c>
      <c r="W45" s="53">
        <f t="shared" si="20"/>
        <v>23320.527191999998</v>
      </c>
      <c r="X45" s="46">
        <f t="shared" si="21"/>
        <v>48523.020928394399</v>
      </c>
      <c r="Y45" s="54">
        <f t="shared" si="14"/>
        <v>4043.5850773662</v>
      </c>
    </row>
    <row r="46" spans="1:25" s="40" customFormat="1" ht="12" x14ac:dyDescent="0.2">
      <c r="A46" s="50">
        <v>39</v>
      </c>
      <c r="B46" s="53">
        <f t="shared" si="24"/>
        <v>20912.47</v>
      </c>
      <c r="C46" s="46">
        <f t="shared" si="23"/>
        <v>43512.57632900001</v>
      </c>
      <c r="D46" s="52">
        <f t="shared" si="4"/>
        <v>3626.0480274166675</v>
      </c>
      <c r="E46" s="152">
        <v>1.56</v>
      </c>
      <c r="F46" s="59">
        <f t="shared" si="5"/>
        <v>5656.6349227700011</v>
      </c>
      <c r="G46" s="45">
        <f t="shared" si="25"/>
        <v>29278.422632000002</v>
      </c>
      <c r="H46" s="59">
        <f t="shared" si="18"/>
        <v>60919.61397040241</v>
      </c>
      <c r="I46" s="52">
        <f t="shared" si="7"/>
        <v>5076.6344975335342</v>
      </c>
      <c r="J46" s="152">
        <v>1.56</v>
      </c>
      <c r="K46" s="59">
        <f t="shared" si="8"/>
        <v>7919.5498161523137</v>
      </c>
      <c r="L46" s="45">
        <v>30678.82</v>
      </c>
      <c r="M46" s="46">
        <f t="shared" si="9"/>
        <v>63833.420774000006</v>
      </c>
      <c r="N46" s="54">
        <f t="shared" si="10"/>
        <v>5319.4517311666668</v>
      </c>
      <c r="O46" s="152">
        <v>1.56</v>
      </c>
      <c r="P46" s="59">
        <f t="shared" si="11"/>
        <v>8298.3447006200004</v>
      </c>
      <c r="Q46" s="53">
        <f t="shared" si="22"/>
        <v>18095.991316</v>
      </c>
      <c r="R46" s="46">
        <f t="shared" si="19"/>
        <v>37652.329131201201</v>
      </c>
      <c r="S46" s="54">
        <f t="shared" si="12"/>
        <v>3137.6940942667666</v>
      </c>
      <c r="T46" s="53">
        <f t="shared" si="16"/>
        <v>15517.400596000001</v>
      </c>
      <c r="U46" s="46">
        <f t="shared" si="15"/>
        <v>32287.055420097207</v>
      </c>
      <c r="V46" s="54">
        <f t="shared" si="13"/>
        <v>2690.5879516747673</v>
      </c>
      <c r="W46" s="53">
        <f t="shared" si="20"/>
        <v>23320.527191999998</v>
      </c>
      <c r="X46" s="46">
        <f t="shared" si="21"/>
        <v>48523.020928394399</v>
      </c>
      <c r="Y46" s="54">
        <f t="shared" si="14"/>
        <v>4043.5850773662</v>
      </c>
    </row>
    <row r="47" spans="1:25" s="40" customFormat="1" ht="12" x14ac:dyDescent="0.2">
      <c r="A47" s="51">
        <v>40</v>
      </c>
      <c r="B47" s="58">
        <f t="shared" si="24"/>
        <v>20912.47</v>
      </c>
      <c r="C47" s="48">
        <f t="shared" si="23"/>
        <v>43512.57632900001</v>
      </c>
      <c r="D47" s="52">
        <f t="shared" si="4"/>
        <v>3626.0480274166675</v>
      </c>
      <c r="E47" s="152">
        <v>1.56</v>
      </c>
      <c r="F47" s="59">
        <f t="shared" si="5"/>
        <v>5656.6349227700011</v>
      </c>
      <c r="G47" s="47">
        <f t="shared" si="25"/>
        <v>29278.422632000002</v>
      </c>
      <c r="H47" s="60">
        <f t="shared" si="18"/>
        <v>60919.61397040241</v>
      </c>
      <c r="I47" s="187">
        <f t="shared" si="7"/>
        <v>5076.6344975335342</v>
      </c>
      <c r="J47" s="152">
        <v>1.56</v>
      </c>
      <c r="K47" s="59">
        <f t="shared" si="8"/>
        <v>7919.5498161523137</v>
      </c>
      <c r="L47" s="45">
        <v>30678.82</v>
      </c>
      <c r="M47" s="46">
        <f t="shared" si="9"/>
        <v>63833.420774000006</v>
      </c>
      <c r="N47" s="54">
        <f t="shared" si="10"/>
        <v>5319.4517311666668</v>
      </c>
      <c r="O47" s="152">
        <v>1.56</v>
      </c>
      <c r="P47" s="59">
        <f t="shared" si="11"/>
        <v>8298.3447006200004</v>
      </c>
      <c r="Q47" s="58">
        <f t="shared" si="22"/>
        <v>18095.991316</v>
      </c>
      <c r="R47" s="48">
        <f t="shared" si="19"/>
        <v>37652.329131201201</v>
      </c>
      <c r="S47" s="54">
        <f t="shared" si="12"/>
        <v>3137.6940942667666</v>
      </c>
      <c r="T47" s="58">
        <f t="shared" si="16"/>
        <v>15517.400596000001</v>
      </c>
      <c r="U47" s="48">
        <f t="shared" si="15"/>
        <v>32287.055420097207</v>
      </c>
      <c r="V47" s="54">
        <f t="shared" si="13"/>
        <v>2690.5879516747673</v>
      </c>
      <c r="W47" s="58">
        <f t="shared" si="20"/>
        <v>23320.527191999998</v>
      </c>
      <c r="X47" s="48">
        <f t="shared" si="21"/>
        <v>48523.020928394399</v>
      </c>
      <c r="Y47" s="54">
        <f t="shared" si="14"/>
        <v>4043.5850773662</v>
      </c>
    </row>
    <row r="48" spans="1:25" s="40" customFormat="1" ht="5.0999999999999996" customHeight="1" x14ac:dyDescent="0.2"/>
    <row r="49" spans="1:2" s="40" customFormat="1" ht="12" x14ac:dyDescent="0.2">
      <c r="A49" s="77" t="s">
        <v>149</v>
      </c>
      <c r="B49" s="77">
        <v>2023</v>
      </c>
    </row>
    <row r="50" spans="1:2" s="40" customFormat="1" ht="12" x14ac:dyDescent="0.2">
      <c r="A50" s="40" t="s">
        <v>223</v>
      </c>
      <c r="B50" s="40">
        <v>454.01609999999999</v>
      </c>
    </row>
    <row r="51" spans="1:2" s="40" customFormat="1" ht="12" x14ac:dyDescent="0.2">
      <c r="A51" s="40" t="s">
        <v>224</v>
      </c>
      <c r="B51" s="76">
        <v>2.5000000000000001E-2</v>
      </c>
    </row>
    <row r="52" spans="1:2" s="40" customFormat="1" ht="12" x14ac:dyDescent="0.2"/>
    <row r="53" spans="1:2" s="40" customFormat="1" ht="12" x14ac:dyDescent="0.2"/>
    <row r="54" spans="1:2" s="40" customFormat="1" ht="12" x14ac:dyDescent="0.2"/>
    <row r="55" spans="1:2" s="40" customFormat="1" ht="12" x14ac:dyDescent="0.2"/>
    <row r="56" spans="1:2" s="40" customFormat="1" ht="12" x14ac:dyDescent="0.2"/>
    <row r="57" spans="1:2" s="40" customFormat="1" ht="12" x14ac:dyDescent="0.2"/>
    <row r="58" spans="1:2" s="40" customFormat="1" ht="12" x14ac:dyDescent="0.2"/>
    <row r="59" spans="1:2" s="40" customFormat="1" ht="12" x14ac:dyDescent="0.2"/>
    <row r="60" spans="1:2" s="40" customFormat="1" ht="12" x14ac:dyDescent="0.2"/>
    <row r="61" spans="1:2" s="40" customFormat="1" ht="12" x14ac:dyDescent="0.2"/>
    <row r="62" spans="1:2" s="40" customFormat="1" ht="12" x14ac:dyDescent="0.2"/>
    <row r="63" spans="1:2" s="40" customFormat="1" ht="12" x14ac:dyDescent="0.2"/>
    <row r="64" spans="1:2" s="40" customFormat="1" ht="12" x14ac:dyDescent="0.2"/>
    <row r="65" s="40" customFormat="1" ht="12" x14ac:dyDescent="0.2"/>
    <row r="66" s="40" customFormat="1" ht="12" x14ac:dyDescent="0.2"/>
    <row r="67" s="40" customFormat="1" ht="12" x14ac:dyDescent="0.2"/>
    <row r="68" s="40" customFormat="1" ht="12" x14ac:dyDescent="0.2"/>
    <row r="69" s="40" customFormat="1" ht="12" x14ac:dyDescent="0.2"/>
  </sheetData>
  <mergeCells count="20">
    <mergeCell ref="L4:P4"/>
    <mergeCell ref="G3:K3"/>
    <mergeCell ref="G4:K4"/>
    <mergeCell ref="B2:C2"/>
    <mergeCell ref="W3:Y3"/>
    <mergeCell ref="W4:Y4"/>
    <mergeCell ref="W5:Y5"/>
    <mergeCell ref="A1:Y1"/>
    <mergeCell ref="T4:V4"/>
    <mergeCell ref="Q5:S5"/>
    <mergeCell ref="B5:D5"/>
    <mergeCell ref="G5:I5"/>
    <mergeCell ref="L5:N5"/>
    <mergeCell ref="T5:V5"/>
    <mergeCell ref="Q3:S3"/>
    <mergeCell ref="T3:V3"/>
    <mergeCell ref="Q4:S4"/>
    <mergeCell ref="B3:F3"/>
    <mergeCell ref="B4:F4"/>
    <mergeCell ref="L3:P3"/>
  </mergeCells>
  <pageMargins left="0.23622047244094491" right="0.23622047244094491" top="0.55118110236220474" bottom="0.55118110236220474" header="0.31496062992125984" footer="0.31496062992125984"/>
  <pageSetup paperSize="9" scale="79" fitToHeight="0" orientation="landscape" r:id="rId1"/>
  <headerFooter>
    <oddHeader>&amp;C&amp;"-,Gras"Plan financier crèche</oddHeader>
    <oddFooter>&amp;C&amp;A&amp;R&amp;P/&amp;N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  <pageSetUpPr fitToPage="1"/>
  </sheetPr>
  <dimension ref="A1:H3"/>
  <sheetViews>
    <sheetView workbookViewId="0">
      <selection activeCell="F23" sqref="F23"/>
    </sheetView>
  </sheetViews>
  <sheetFormatPr baseColWidth="10" defaultColWidth="11.42578125" defaultRowHeight="15" x14ac:dyDescent="0.25"/>
  <cols>
    <col min="1" max="3" width="14.28515625" customWidth="1"/>
    <col min="4" max="4" width="14.28515625" hidden="1" customWidth="1"/>
    <col min="5" max="5" width="12.140625" customWidth="1"/>
  </cols>
  <sheetData>
    <row r="1" spans="1:8" ht="31.35" customHeight="1" x14ac:dyDescent="0.25">
      <c r="A1" s="257" t="s">
        <v>225</v>
      </c>
      <c r="B1" s="258"/>
      <c r="C1" s="258"/>
      <c r="D1" s="258"/>
      <c r="E1" s="258"/>
      <c r="F1" s="258"/>
      <c r="G1" s="259"/>
    </row>
    <row r="2" spans="1:8" s="38" customFormat="1" ht="34.35" customHeight="1" x14ac:dyDescent="0.25">
      <c r="A2" s="65" t="s">
        <v>226</v>
      </c>
      <c r="B2" s="65" t="s">
        <v>128</v>
      </c>
      <c r="C2" s="65" t="s">
        <v>207</v>
      </c>
      <c r="D2" s="65" t="s">
        <v>131</v>
      </c>
      <c r="E2" s="65" t="s">
        <v>132</v>
      </c>
      <c r="F2" s="65" t="s">
        <v>133</v>
      </c>
      <c r="G2" s="65" t="s">
        <v>134</v>
      </c>
    </row>
    <row r="3" spans="1:8" x14ac:dyDescent="0.25">
      <c r="A3" s="63">
        <v>8</v>
      </c>
      <c r="B3" s="64">
        <v>2</v>
      </c>
      <c r="C3" s="64">
        <f>(1/18)*2</f>
        <v>0.1111111111111111</v>
      </c>
      <c r="D3" s="64">
        <v>0.5</v>
      </c>
      <c r="H3" s="70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 xml:space="preserve">&amp;C&amp;"-,Gras"Plan financier crèche
</oddHeader>
    <oddFooter>&amp;C&amp;A&amp;R&amp;P/&amp;N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</sheetPr>
  <dimension ref="A1:B9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40.5703125" bestFit="1" customWidth="1"/>
  </cols>
  <sheetData>
    <row r="1" spans="1:2" ht="44.85" customHeight="1" x14ac:dyDescent="0.25">
      <c r="A1" s="260" t="s">
        <v>280</v>
      </c>
      <c r="B1" s="261"/>
    </row>
    <row r="2" spans="1:2" x14ac:dyDescent="0.25">
      <c r="A2" s="80" t="s">
        <v>227</v>
      </c>
      <c r="B2" s="80" t="s">
        <v>169</v>
      </c>
    </row>
    <row r="3" spans="1:2" x14ac:dyDescent="0.25">
      <c r="A3" s="81" t="s">
        <v>228</v>
      </c>
      <c r="B3" s="82">
        <v>15.84</v>
      </c>
    </row>
    <row r="4" spans="1:2" x14ac:dyDescent="0.25">
      <c r="A4" s="81" t="s">
        <v>229</v>
      </c>
      <c r="B4" s="82">
        <v>19.12</v>
      </c>
    </row>
    <row r="5" spans="1:2" x14ac:dyDescent="0.25">
      <c r="A5" s="81" t="s">
        <v>230</v>
      </c>
      <c r="B5" s="82">
        <v>17.059999999999999</v>
      </c>
    </row>
    <row r="6" spans="1:2" x14ac:dyDescent="0.25">
      <c r="A6" s="81" t="s">
        <v>231</v>
      </c>
      <c r="B6" s="82">
        <v>17.07</v>
      </c>
    </row>
    <row r="7" spans="1:2" x14ac:dyDescent="0.25">
      <c r="A7" s="81" t="s">
        <v>232</v>
      </c>
      <c r="B7" s="82">
        <v>19.11</v>
      </c>
    </row>
    <row r="8" spans="1:2" x14ac:dyDescent="0.25">
      <c r="A8" s="81" t="s">
        <v>14</v>
      </c>
      <c r="B8" s="82">
        <v>17.989999999999998</v>
      </c>
    </row>
    <row r="9" spans="1:2" x14ac:dyDescent="0.25">
      <c r="A9" s="83" t="s">
        <v>233</v>
      </c>
      <c r="B9" s="84">
        <v>17.25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11"/>
  <sheetViews>
    <sheetView tabSelected="1" zoomScale="97" zoomScaleNormal="97" workbookViewId="0">
      <selection activeCell="L16" sqref="L16"/>
    </sheetView>
  </sheetViews>
  <sheetFormatPr baseColWidth="10" defaultColWidth="11.42578125" defaultRowHeight="15" x14ac:dyDescent="0.25"/>
  <cols>
    <col min="1" max="1" width="24.140625" customWidth="1"/>
    <col min="2" max="2" width="55.85546875" customWidth="1"/>
  </cols>
  <sheetData>
    <row r="1" spans="1:2" ht="36.6" customHeight="1" x14ac:dyDescent="0.25">
      <c r="A1" s="194" t="s">
        <v>8</v>
      </c>
      <c r="B1" s="195"/>
    </row>
    <row r="2" spans="1:2" s="1" customFormat="1" ht="39.6" customHeight="1" x14ac:dyDescent="0.25">
      <c r="A2" s="108" t="s">
        <v>9</v>
      </c>
      <c r="B2" s="109"/>
    </row>
    <row r="3" spans="1:2" s="1" customFormat="1" ht="21.95" customHeight="1" x14ac:dyDescent="0.25">
      <c r="A3" s="11" t="s">
        <v>10</v>
      </c>
      <c r="B3" s="36"/>
    </row>
    <row r="4" spans="1:2" s="1" customFormat="1" ht="21.95" customHeight="1" x14ac:dyDescent="0.25">
      <c r="A4" s="11" t="s">
        <v>11</v>
      </c>
      <c r="B4" s="36"/>
    </row>
    <row r="5" spans="1:2" s="1" customFormat="1" ht="21.95" customHeight="1" x14ac:dyDescent="0.25">
      <c r="A5" s="11" t="s">
        <v>12</v>
      </c>
      <c r="B5" s="36"/>
    </row>
    <row r="6" spans="1:2" s="1" customFormat="1" ht="39.6" customHeight="1" x14ac:dyDescent="0.25">
      <c r="A6" s="37" t="s">
        <v>300</v>
      </c>
      <c r="B6" s="3"/>
    </row>
    <row r="7" spans="1:2" s="1" customFormat="1" ht="21.75" customHeight="1" x14ac:dyDescent="0.25">
      <c r="A7" s="11" t="s">
        <v>10</v>
      </c>
      <c r="B7" s="36"/>
    </row>
    <row r="8" spans="1:2" s="1" customFormat="1" ht="21.75" customHeight="1" x14ac:dyDescent="0.25">
      <c r="A8" s="11" t="s">
        <v>11</v>
      </c>
      <c r="B8" s="36"/>
    </row>
    <row r="9" spans="1:2" s="1" customFormat="1" ht="21.75" customHeight="1" x14ac:dyDescent="0.25">
      <c r="A9" s="11" t="s">
        <v>12</v>
      </c>
      <c r="B9" s="36"/>
    </row>
    <row r="10" spans="1:2" s="1" customFormat="1" ht="21.75" customHeight="1" x14ac:dyDescent="0.25">
      <c r="A10" s="11" t="s">
        <v>272</v>
      </c>
      <c r="B10" s="3">
        <v>8</v>
      </c>
    </row>
    <row r="11" spans="1:2" ht="22.35" customHeight="1" x14ac:dyDescent="0.25">
      <c r="A11" s="11" t="s">
        <v>13</v>
      </c>
      <c r="B11" s="36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&amp;C&amp;"-,Gras"Plan financier co-accueil lieu tiers</oddHeader>
    <oddFooter>&amp;C&amp;A&amp;R&amp;P/&amp;N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PFP!$A$3:$A$8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8181"/>
    <pageSetUpPr fitToPage="1"/>
  </sheetPr>
  <dimension ref="A1:D112"/>
  <sheetViews>
    <sheetView topLeftCell="A81" zoomScale="97" zoomScaleNormal="97" workbookViewId="0">
      <selection activeCell="B104" sqref="B104"/>
    </sheetView>
  </sheetViews>
  <sheetFormatPr baseColWidth="10" defaultColWidth="10.85546875" defaultRowHeight="15" x14ac:dyDescent="0.25"/>
  <cols>
    <col min="1" max="1" width="39.85546875" style="1" bestFit="1" customWidth="1"/>
    <col min="2" max="2" width="22" style="24" customWidth="1"/>
    <col min="3" max="3" width="21.42578125" style="1" customWidth="1"/>
    <col min="4" max="4" width="33.5703125" style="144" customWidth="1"/>
  </cols>
  <sheetData>
    <row r="1" spans="1:4" ht="34.700000000000003" customHeight="1" x14ac:dyDescent="0.25">
      <c r="A1" s="196" t="s">
        <v>273</v>
      </c>
      <c r="B1" s="197"/>
      <c r="C1" s="197"/>
      <c r="D1" s="195"/>
    </row>
    <row r="2" spans="1:4" x14ac:dyDescent="0.25">
      <c r="A2" s="124" t="s">
        <v>15</v>
      </c>
      <c r="B2" s="125">
        <f>SUM(B3:B9)</f>
        <v>0</v>
      </c>
      <c r="C2" s="126" t="s">
        <v>16</v>
      </c>
      <c r="D2" s="142" t="s">
        <v>17</v>
      </c>
    </row>
    <row r="3" spans="1:4" x14ac:dyDescent="0.25">
      <c r="A3" s="113" t="s">
        <v>18</v>
      </c>
      <c r="B3" s="114"/>
      <c r="C3" s="11"/>
      <c r="D3" s="122"/>
    </row>
    <row r="4" spans="1:4" x14ac:dyDescent="0.25">
      <c r="A4" s="113" t="s">
        <v>19</v>
      </c>
      <c r="B4" s="114"/>
      <c r="C4" s="11"/>
      <c r="D4" s="122"/>
    </row>
    <row r="5" spans="1:4" x14ac:dyDescent="0.25">
      <c r="A5" s="113" t="s">
        <v>20</v>
      </c>
      <c r="B5" s="114"/>
      <c r="C5" s="11"/>
      <c r="D5" s="122"/>
    </row>
    <row r="6" spans="1:4" x14ac:dyDescent="0.25">
      <c r="A6" s="113" t="s">
        <v>21</v>
      </c>
      <c r="B6" s="114"/>
      <c r="C6" s="11"/>
      <c r="D6" s="122"/>
    </row>
    <row r="7" spans="1:4" x14ac:dyDescent="0.25">
      <c r="A7" s="113" t="s">
        <v>22</v>
      </c>
      <c r="B7" s="114"/>
      <c r="C7" s="11"/>
      <c r="D7" s="122"/>
    </row>
    <row r="8" spans="1:4" x14ac:dyDescent="0.25">
      <c r="A8" s="113" t="s">
        <v>22</v>
      </c>
      <c r="B8" s="114"/>
      <c r="C8" s="11"/>
      <c r="D8" s="122"/>
    </row>
    <row r="9" spans="1:4" x14ac:dyDescent="0.25">
      <c r="A9" s="113" t="s">
        <v>22</v>
      </c>
      <c r="B9" s="114"/>
      <c r="C9" s="11"/>
      <c r="D9" s="122"/>
    </row>
    <row r="10" spans="1:4" collapsed="1" x14ac:dyDescent="0.25">
      <c r="A10" s="124" t="s">
        <v>23</v>
      </c>
      <c r="B10" s="125">
        <f>SUM(B11:B16)</f>
        <v>0</v>
      </c>
      <c r="C10" s="126" t="s">
        <v>16</v>
      </c>
      <c r="D10" s="142" t="s">
        <v>17</v>
      </c>
    </row>
    <row r="11" spans="1:4" x14ac:dyDescent="0.25">
      <c r="A11" s="113" t="s">
        <v>24</v>
      </c>
      <c r="B11" s="114"/>
      <c r="C11" s="11"/>
      <c r="D11" s="122"/>
    </row>
    <row r="12" spans="1:4" x14ac:dyDescent="0.25">
      <c r="A12" s="113" t="s">
        <v>25</v>
      </c>
      <c r="B12" s="114"/>
      <c r="C12" s="11"/>
      <c r="D12" s="122"/>
    </row>
    <row r="13" spans="1:4" x14ac:dyDescent="0.25">
      <c r="A13" s="113" t="s">
        <v>26</v>
      </c>
      <c r="B13" s="114"/>
      <c r="C13" s="11"/>
      <c r="D13" s="122"/>
    </row>
    <row r="14" spans="1:4" x14ac:dyDescent="0.25">
      <c r="A14" s="113" t="s">
        <v>22</v>
      </c>
      <c r="B14" s="114"/>
      <c r="C14" s="11"/>
      <c r="D14" s="122"/>
    </row>
    <row r="15" spans="1:4" x14ac:dyDescent="0.25">
      <c r="A15" s="113" t="s">
        <v>22</v>
      </c>
      <c r="B15" s="114"/>
      <c r="C15" s="11"/>
      <c r="D15" s="122"/>
    </row>
    <row r="16" spans="1:4" x14ac:dyDescent="0.25">
      <c r="A16" s="113" t="s">
        <v>22</v>
      </c>
      <c r="B16" s="114"/>
      <c r="C16" s="11"/>
      <c r="D16" s="122"/>
    </row>
    <row r="17" spans="1:4" collapsed="1" x14ac:dyDescent="0.25">
      <c r="A17" s="124" t="s">
        <v>27</v>
      </c>
      <c r="B17" s="125">
        <f>B18+B27</f>
        <v>0</v>
      </c>
      <c r="C17" s="126" t="s">
        <v>16</v>
      </c>
      <c r="D17" s="142" t="s">
        <v>17</v>
      </c>
    </row>
    <row r="18" spans="1:4" x14ac:dyDescent="0.25">
      <c r="A18" s="130" t="s">
        <v>28</v>
      </c>
      <c r="B18" s="131">
        <f>SUM(B19:B26)</f>
        <v>0</v>
      </c>
      <c r="C18" s="2"/>
      <c r="D18" s="143"/>
    </row>
    <row r="19" spans="1:4" x14ac:dyDescent="0.25">
      <c r="A19" s="113" t="s">
        <v>29</v>
      </c>
      <c r="B19" s="114"/>
      <c r="C19" s="11"/>
      <c r="D19" s="122"/>
    </row>
    <row r="20" spans="1:4" x14ac:dyDescent="0.25">
      <c r="A20" s="113" t="s">
        <v>30</v>
      </c>
      <c r="B20" s="114"/>
      <c r="C20" s="11"/>
      <c r="D20" s="122"/>
    </row>
    <row r="21" spans="1:4" x14ac:dyDescent="0.25">
      <c r="A21" s="113" t="s">
        <v>31</v>
      </c>
      <c r="B21" s="114"/>
      <c r="C21" s="11"/>
      <c r="D21" s="138"/>
    </row>
    <row r="22" spans="1:4" x14ac:dyDescent="0.25">
      <c r="A22" s="113" t="s">
        <v>32</v>
      </c>
      <c r="B22" s="114"/>
      <c r="C22" s="127"/>
      <c r="D22" s="122"/>
    </row>
    <row r="23" spans="1:4" x14ac:dyDescent="0.25">
      <c r="A23" s="113" t="s">
        <v>33</v>
      </c>
      <c r="B23" s="114"/>
      <c r="C23" s="127"/>
      <c r="D23" s="122"/>
    </row>
    <row r="24" spans="1:4" x14ac:dyDescent="0.25">
      <c r="A24" s="113" t="s">
        <v>22</v>
      </c>
      <c r="B24" s="114"/>
      <c r="C24" s="11"/>
      <c r="D24" s="122"/>
    </row>
    <row r="25" spans="1:4" x14ac:dyDescent="0.25">
      <c r="A25" s="113" t="s">
        <v>22</v>
      </c>
      <c r="B25" s="114"/>
      <c r="C25" s="11"/>
      <c r="D25" s="122"/>
    </row>
    <row r="26" spans="1:4" x14ac:dyDescent="0.25">
      <c r="A26" s="113" t="s">
        <v>22</v>
      </c>
      <c r="B26" s="114"/>
      <c r="C26" s="11"/>
      <c r="D26" s="122"/>
    </row>
    <row r="27" spans="1:4" x14ac:dyDescent="0.25">
      <c r="A27" s="130" t="s">
        <v>34</v>
      </c>
      <c r="B27" s="131">
        <f>SUM(B28:B32)</f>
        <v>0</v>
      </c>
      <c r="C27" s="2"/>
      <c r="D27" s="143"/>
    </row>
    <row r="28" spans="1:4" x14ac:dyDescent="0.25">
      <c r="A28" s="113" t="s">
        <v>35</v>
      </c>
      <c r="B28" s="114"/>
      <c r="C28" s="11"/>
      <c r="D28" s="122"/>
    </row>
    <row r="29" spans="1:4" x14ac:dyDescent="0.25">
      <c r="A29" s="113" t="s">
        <v>36</v>
      </c>
      <c r="B29" s="114"/>
      <c r="C29" s="11"/>
      <c r="D29" s="122"/>
    </row>
    <row r="30" spans="1:4" x14ac:dyDescent="0.25">
      <c r="A30" s="113" t="s">
        <v>266</v>
      </c>
      <c r="B30" s="114"/>
      <c r="C30" s="11"/>
      <c r="D30" s="122"/>
    </row>
    <row r="31" spans="1:4" x14ac:dyDescent="0.25">
      <c r="A31" s="113" t="s">
        <v>22</v>
      </c>
      <c r="B31" s="114"/>
      <c r="C31" s="11"/>
      <c r="D31" s="122"/>
    </row>
    <row r="32" spans="1:4" x14ac:dyDescent="0.25">
      <c r="A32" s="113" t="s">
        <v>22</v>
      </c>
      <c r="B32" s="114"/>
      <c r="C32" s="11"/>
      <c r="D32" s="122"/>
    </row>
    <row r="33" spans="1:4" collapsed="1" x14ac:dyDescent="0.25">
      <c r="A33" s="111" t="s">
        <v>37</v>
      </c>
      <c r="B33" s="112">
        <f>B34+B41+B49+B56+B61+B70+B78+B85+B90+B99</f>
        <v>0</v>
      </c>
      <c r="C33" s="126" t="s">
        <v>16</v>
      </c>
      <c r="D33" s="142" t="s">
        <v>17</v>
      </c>
    </row>
    <row r="34" spans="1:4" x14ac:dyDescent="0.25">
      <c r="A34" s="130" t="s">
        <v>38</v>
      </c>
      <c r="B34" s="131">
        <f>SUM(B35:B40)</f>
        <v>0</v>
      </c>
      <c r="C34" s="2"/>
      <c r="D34" s="143"/>
    </row>
    <row r="35" spans="1:4" ht="15.75" customHeight="1" x14ac:dyDescent="0.25">
      <c r="A35" s="113" t="s">
        <v>39</v>
      </c>
      <c r="B35" s="114"/>
      <c r="C35" s="11"/>
      <c r="D35" s="122"/>
    </row>
    <row r="36" spans="1:4" ht="15.75" customHeight="1" x14ac:dyDescent="0.25">
      <c r="A36" s="113" t="s">
        <v>40</v>
      </c>
      <c r="B36" s="114"/>
      <c r="C36" s="11"/>
      <c r="D36" s="122"/>
    </row>
    <row r="37" spans="1:4" ht="15.75" customHeight="1" x14ac:dyDescent="0.25">
      <c r="A37" s="113" t="s">
        <v>41</v>
      </c>
      <c r="B37" s="114"/>
      <c r="C37" s="11"/>
      <c r="D37" s="122"/>
    </row>
    <row r="38" spans="1:4" x14ac:dyDescent="0.25">
      <c r="A38" s="113" t="s">
        <v>42</v>
      </c>
      <c r="B38" s="114"/>
      <c r="C38" s="11"/>
      <c r="D38" s="122"/>
    </row>
    <row r="39" spans="1:4" x14ac:dyDescent="0.25">
      <c r="A39" s="113" t="s">
        <v>43</v>
      </c>
      <c r="B39" s="114"/>
      <c r="C39" s="11"/>
      <c r="D39" s="122"/>
    </row>
    <row r="40" spans="1:4" x14ac:dyDescent="0.25">
      <c r="A40" s="113" t="s">
        <v>22</v>
      </c>
      <c r="B40" s="114"/>
      <c r="C40" s="11"/>
      <c r="D40" s="122"/>
    </row>
    <row r="41" spans="1:4" x14ac:dyDescent="0.25">
      <c r="A41" s="130" t="s">
        <v>44</v>
      </c>
      <c r="B41" s="131">
        <f>SUM(B42:B48)</f>
        <v>0</v>
      </c>
      <c r="C41" s="2"/>
      <c r="D41" s="143"/>
    </row>
    <row r="42" spans="1:4" x14ac:dyDescent="0.25">
      <c r="A42" s="113" t="s">
        <v>45</v>
      </c>
      <c r="B42" s="114"/>
      <c r="C42" s="11"/>
      <c r="D42" s="122"/>
    </row>
    <row r="43" spans="1:4" x14ac:dyDescent="0.25">
      <c r="A43" s="113" t="s">
        <v>46</v>
      </c>
      <c r="B43" s="114"/>
      <c r="C43" s="11"/>
      <c r="D43" s="122"/>
    </row>
    <row r="44" spans="1:4" x14ac:dyDescent="0.25">
      <c r="A44" s="113" t="s">
        <v>47</v>
      </c>
      <c r="B44" s="114"/>
      <c r="C44" s="11"/>
      <c r="D44" s="122"/>
    </row>
    <row r="45" spans="1:4" x14ac:dyDescent="0.25">
      <c r="A45" s="113" t="s">
        <v>48</v>
      </c>
      <c r="B45" s="114"/>
      <c r="C45" s="11"/>
      <c r="D45" s="122"/>
    </row>
    <row r="46" spans="1:4" x14ac:dyDescent="0.25">
      <c r="A46" s="113" t="s">
        <v>22</v>
      </c>
      <c r="B46" s="114"/>
      <c r="C46" s="11"/>
      <c r="D46" s="122"/>
    </row>
    <row r="47" spans="1:4" x14ac:dyDescent="0.25">
      <c r="A47" s="113" t="s">
        <v>22</v>
      </c>
      <c r="B47" s="114"/>
      <c r="C47" s="11"/>
      <c r="D47" s="122"/>
    </row>
    <row r="48" spans="1:4" x14ac:dyDescent="0.25">
      <c r="A48" s="113" t="s">
        <v>22</v>
      </c>
      <c r="B48" s="114"/>
      <c r="C48" s="11"/>
      <c r="D48" s="122"/>
    </row>
    <row r="49" spans="1:4" x14ac:dyDescent="0.25">
      <c r="A49" s="130" t="s">
        <v>49</v>
      </c>
      <c r="B49" s="131">
        <f>SUM(B50:B55)</f>
        <v>0</v>
      </c>
      <c r="C49" s="2"/>
      <c r="D49" s="143"/>
    </row>
    <row r="50" spans="1:4" x14ac:dyDescent="0.25">
      <c r="A50" s="113" t="s">
        <v>50</v>
      </c>
      <c r="B50" s="114"/>
      <c r="C50" s="11"/>
      <c r="D50" s="122"/>
    </row>
    <row r="51" spans="1:4" x14ac:dyDescent="0.25">
      <c r="A51" s="113" t="s">
        <v>48</v>
      </c>
      <c r="B51" s="114"/>
      <c r="C51" s="11"/>
      <c r="D51" s="122"/>
    </row>
    <row r="52" spans="1:4" x14ac:dyDescent="0.25">
      <c r="A52" s="113" t="s">
        <v>51</v>
      </c>
      <c r="B52" s="114"/>
      <c r="C52" s="11"/>
      <c r="D52" s="122"/>
    </row>
    <row r="53" spans="1:4" x14ac:dyDescent="0.25">
      <c r="A53" s="113" t="s">
        <v>259</v>
      </c>
      <c r="B53" s="114"/>
      <c r="C53" s="11"/>
      <c r="D53" s="122"/>
    </row>
    <row r="54" spans="1:4" x14ac:dyDescent="0.25">
      <c r="A54" s="113" t="s">
        <v>264</v>
      </c>
      <c r="B54" s="114"/>
      <c r="C54" s="11"/>
      <c r="D54" s="122"/>
    </row>
    <row r="55" spans="1:4" x14ac:dyDescent="0.25">
      <c r="A55" s="113" t="s">
        <v>22</v>
      </c>
      <c r="B55" s="114"/>
      <c r="C55" s="11"/>
      <c r="D55" s="122"/>
    </row>
    <row r="56" spans="1:4" x14ac:dyDescent="0.25">
      <c r="A56" s="130" t="s">
        <v>52</v>
      </c>
      <c r="B56" s="131">
        <f>SUM(B57:B60)</f>
        <v>0</v>
      </c>
      <c r="C56" s="2"/>
      <c r="D56" s="143"/>
    </row>
    <row r="57" spans="1:4" ht="25.5" x14ac:dyDescent="0.25">
      <c r="A57" s="128" t="s">
        <v>53</v>
      </c>
      <c r="B57" s="114"/>
      <c r="C57" s="11"/>
      <c r="D57" s="122"/>
    </row>
    <row r="58" spans="1:4" x14ac:dyDescent="0.25">
      <c r="A58" s="113" t="s">
        <v>261</v>
      </c>
      <c r="B58" s="114"/>
      <c r="C58" s="11"/>
      <c r="D58" s="122"/>
    </row>
    <row r="59" spans="1:4" x14ac:dyDescent="0.25">
      <c r="A59" s="113" t="s">
        <v>263</v>
      </c>
      <c r="B59" s="114"/>
      <c r="C59" s="11"/>
      <c r="D59" s="122"/>
    </row>
    <row r="60" spans="1:4" x14ac:dyDescent="0.25">
      <c r="A60" s="113" t="s">
        <v>265</v>
      </c>
      <c r="B60" s="114"/>
      <c r="C60" s="11"/>
      <c r="D60" s="122"/>
    </row>
    <row r="61" spans="1:4" x14ac:dyDescent="0.25">
      <c r="A61" s="130" t="s">
        <v>54</v>
      </c>
      <c r="B61" s="131">
        <f>SUM(B62:B69)</f>
        <v>0</v>
      </c>
      <c r="C61" s="2"/>
      <c r="D61" s="143"/>
    </row>
    <row r="62" spans="1:4" x14ac:dyDescent="0.25">
      <c r="A62" s="113" t="s">
        <v>262</v>
      </c>
      <c r="B62" s="114"/>
      <c r="C62" s="11"/>
      <c r="D62" s="148"/>
    </row>
    <row r="63" spans="1:4" x14ac:dyDescent="0.25">
      <c r="A63" s="113" t="s">
        <v>55</v>
      </c>
      <c r="B63" s="114"/>
      <c r="C63" s="11"/>
      <c r="D63" s="122"/>
    </row>
    <row r="64" spans="1:4" x14ac:dyDescent="0.25">
      <c r="A64" s="113" t="s">
        <v>56</v>
      </c>
      <c r="B64" s="114"/>
      <c r="C64" s="11"/>
      <c r="D64" s="122"/>
    </row>
    <row r="65" spans="1:4" x14ac:dyDescent="0.25">
      <c r="A65" s="113" t="s">
        <v>57</v>
      </c>
      <c r="B65" s="114"/>
      <c r="C65" s="11"/>
      <c r="D65" s="122"/>
    </row>
    <row r="66" spans="1:4" x14ac:dyDescent="0.25">
      <c r="A66" s="113" t="s">
        <v>58</v>
      </c>
      <c r="B66" s="114"/>
      <c r="C66" s="11"/>
      <c r="D66" s="122"/>
    </row>
    <row r="67" spans="1:4" x14ac:dyDescent="0.25">
      <c r="A67" s="113" t="s">
        <v>22</v>
      </c>
      <c r="B67" s="114"/>
      <c r="C67" s="11"/>
      <c r="D67" s="122"/>
    </row>
    <row r="68" spans="1:4" x14ac:dyDescent="0.25">
      <c r="A68" s="113" t="s">
        <v>22</v>
      </c>
      <c r="B68" s="114"/>
      <c r="C68" s="11"/>
      <c r="D68" s="122"/>
    </row>
    <row r="69" spans="1:4" x14ac:dyDescent="0.25">
      <c r="A69" s="113" t="s">
        <v>22</v>
      </c>
      <c r="B69" s="114"/>
      <c r="C69" s="11"/>
      <c r="D69" s="122"/>
    </row>
    <row r="70" spans="1:4" x14ac:dyDescent="0.25">
      <c r="A70" s="130" t="s">
        <v>59</v>
      </c>
      <c r="B70" s="131">
        <f>SUM(B71:B77)</f>
        <v>0</v>
      </c>
      <c r="C70" s="2"/>
      <c r="D70" s="143"/>
    </row>
    <row r="71" spans="1:4" x14ac:dyDescent="0.25">
      <c r="A71" s="113" t="s">
        <v>60</v>
      </c>
      <c r="B71" s="114"/>
      <c r="C71" s="11"/>
      <c r="D71" s="122"/>
    </row>
    <row r="72" spans="1:4" x14ac:dyDescent="0.25">
      <c r="A72" s="113" t="s">
        <v>61</v>
      </c>
      <c r="B72" s="114"/>
      <c r="C72" s="11"/>
      <c r="D72" s="122"/>
    </row>
    <row r="73" spans="1:4" x14ac:dyDescent="0.25">
      <c r="A73" s="113" t="s">
        <v>62</v>
      </c>
      <c r="B73" s="114"/>
      <c r="C73" s="11"/>
      <c r="D73" s="122"/>
    </row>
    <row r="74" spans="1:4" x14ac:dyDescent="0.25">
      <c r="A74" s="113" t="s">
        <v>63</v>
      </c>
      <c r="B74" s="114"/>
      <c r="C74" s="11"/>
      <c r="D74" s="122"/>
    </row>
    <row r="75" spans="1:4" x14ac:dyDescent="0.25">
      <c r="A75" s="113" t="s">
        <v>242</v>
      </c>
      <c r="B75" s="114"/>
      <c r="C75" s="11"/>
      <c r="D75" s="122"/>
    </row>
    <row r="76" spans="1:4" x14ac:dyDescent="0.25">
      <c r="A76" s="113" t="s">
        <v>22</v>
      </c>
      <c r="B76" s="114"/>
      <c r="C76" s="11"/>
      <c r="D76" s="122"/>
    </row>
    <row r="77" spans="1:4" x14ac:dyDescent="0.25">
      <c r="A77" s="113" t="s">
        <v>22</v>
      </c>
      <c r="B77" s="114"/>
      <c r="C77" s="11"/>
      <c r="D77" s="122"/>
    </row>
    <row r="78" spans="1:4" x14ac:dyDescent="0.25">
      <c r="A78" s="130" t="s">
        <v>64</v>
      </c>
      <c r="B78" s="131">
        <f>SUM(B79:B84)</f>
        <v>0</v>
      </c>
      <c r="C78" s="2" t="s">
        <v>65</v>
      </c>
      <c r="D78" s="143"/>
    </row>
    <row r="79" spans="1:4" x14ac:dyDescent="0.25">
      <c r="A79" s="113" t="s">
        <v>66</v>
      </c>
      <c r="B79" s="114"/>
      <c r="C79" s="11"/>
      <c r="D79" s="122"/>
    </row>
    <row r="80" spans="1:4" x14ac:dyDescent="0.25">
      <c r="A80" s="113" t="s">
        <v>67</v>
      </c>
      <c r="B80" s="114"/>
      <c r="C80" s="11"/>
      <c r="D80" s="122"/>
    </row>
    <row r="81" spans="1:4" x14ac:dyDescent="0.25">
      <c r="A81" s="113" t="s">
        <v>68</v>
      </c>
      <c r="B81" s="114"/>
      <c r="C81" s="11"/>
      <c r="D81" s="122"/>
    </row>
    <row r="82" spans="1:4" x14ac:dyDescent="0.25">
      <c r="A82" s="113" t="s">
        <v>69</v>
      </c>
      <c r="B82" s="114"/>
      <c r="C82" s="11"/>
      <c r="D82" s="122"/>
    </row>
    <row r="83" spans="1:4" x14ac:dyDescent="0.25">
      <c r="A83" s="113" t="s">
        <v>70</v>
      </c>
      <c r="B83" s="114"/>
      <c r="C83" s="11"/>
      <c r="D83" s="122"/>
    </row>
    <row r="84" spans="1:4" x14ac:dyDescent="0.25">
      <c r="A84" s="113" t="s">
        <v>235</v>
      </c>
      <c r="B84" s="114"/>
      <c r="D84" s="122"/>
    </row>
    <row r="85" spans="1:4" x14ac:dyDescent="0.25">
      <c r="A85" s="130" t="s">
        <v>71</v>
      </c>
      <c r="B85" s="131">
        <f>SUM(B86:B89)</f>
        <v>0</v>
      </c>
      <c r="C85" s="2" t="s">
        <v>65</v>
      </c>
      <c r="D85" s="143"/>
    </row>
    <row r="86" spans="1:4" x14ac:dyDescent="0.25">
      <c r="A86" s="113" t="s">
        <v>72</v>
      </c>
      <c r="B86" s="114"/>
      <c r="C86" s="11"/>
      <c r="D86" s="122"/>
    </row>
    <row r="87" spans="1:4" x14ac:dyDescent="0.25">
      <c r="A87" s="113" t="s">
        <v>236</v>
      </c>
      <c r="B87" s="114"/>
      <c r="C87" s="11"/>
      <c r="D87" s="122"/>
    </row>
    <row r="88" spans="1:4" x14ac:dyDescent="0.25">
      <c r="A88" s="113" t="s">
        <v>237</v>
      </c>
      <c r="B88" s="114"/>
      <c r="C88" s="11"/>
      <c r="D88" s="122"/>
    </row>
    <row r="89" spans="1:4" x14ac:dyDescent="0.25">
      <c r="A89" s="113" t="s">
        <v>22</v>
      </c>
      <c r="B89" s="129"/>
      <c r="C89" s="11"/>
      <c r="D89" s="122"/>
    </row>
    <row r="90" spans="1:4" x14ac:dyDescent="0.25">
      <c r="A90" s="130" t="s">
        <v>73</v>
      </c>
      <c r="B90" s="131">
        <f>SUM(B91:B98)</f>
        <v>0</v>
      </c>
      <c r="C90" s="2"/>
      <c r="D90" s="143"/>
    </row>
    <row r="91" spans="1:4" x14ac:dyDescent="0.25">
      <c r="A91" s="113" t="s">
        <v>74</v>
      </c>
      <c r="B91" s="129"/>
      <c r="C91" s="11"/>
      <c r="D91" s="122"/>
    </row>
    <row r="92" spans="1:4" x14ac:dyDescent="0.25">
      <c r="A92" s="113" t="s">
        <v>75</v>
      </c>
      <c r="B92" s="129"/>
      <c r="C92" s="11"/>
      <c r="D92" s="122"/>
    </row>
    <row r="93" spans="1:4" x14ac:dyDescent="0.25">
      <c r="A93" s="113" t="s">
        <v>76</v>
      </c>
      <c r="B93" s="129"/>
      <c r="C93" s="11"/>
      <c r="D93" s="122"/>
    </row>
    <row r="94" spans="1:4" x14ac:dyDescent="0.25">
      <c r="A94" s="113" t="s">
        <v>243</v>
      </c>
      <c r="B94" s="129"/>
      <c r="C94" s="11"/>
      <c r="D94" s="122"/>
    </row>
    <row r="95" spans="1:4" x14ac:dyDescent="0.25">
      <c r="A95" s="113" t="s">
        <v>241</v>
      </c>
      <c r="B95" s="129"/>
      <c r="C95" s="11"/>
      <c r="D95" s="122"/>
    </row>
    <row r="96" spans="1:4" x14ac:dyDescent="0.25">
      <c r="A96" s="113" t="s">
        <v>240</v>
      </c>
      <c r="B96" s="129"/>
      <c r="C96" s="11"/>
      <c r="D96" s="122"/>
    </row>
    <row r="97" spans="1:4" x14ac:dyDescent="0.25">
      <c r="A97" s="113" t="s">
        <v>238</v>
      </c>
      <c r="B97" s="129"/>
      <c r="C97" s="11"/>
      <c r="D97" s="122"/>
    </row>
    <row r="98" spans="1:4" x14ac:dyDescent="0.25">
      <c r="A98" s="113" t="s">
        <v>239</v>
      </c>
      <c r="B98" s="129"/>
      <c r="C98" s="11"/>
      <c r="D98" s="122"/>
    </row>
    <row r="99" spans="1:4" x14ac:dyDescent="0.25">
      <c r="A99" s="130" t="s">
        <v>77</v>
      </c>
      <c r="B99" s="131">
        <f>SUM(B100:B105)</f>
        <v>0</v>
      </c>
      <c r="C99" s="2"/>
      <c r="D99" s="143"/>
    </row>
    <row r="100" spans="1:4" x14ac:dyDescent="0.25">
      <c r="A100" s="113" t="s">
        <v>78</v>
      </c>
      <c r="B100" s="129"/>
      <c r="C100" s="11"/>
      <c r="D100" s="122"/>
    </row>
    <row r="101" spans="1:4" x14ac:dyDescent="0.25">
      <c r="A101" s="113" t="s">
        <v>79</v>
      </c>
      <c r="B101" s="129"/>
      <c r="C101" s="11"/>
      <c r="D101" s="122"/>
    </row>
    <row r="102" spans="1:4" x14ac:dyDescent="0.25">
      <c r="A102" s="113" t="s">
        <v>80</v>
      </c>
      <c r="B102" s="129"/>
      <c r="C102" s="11"/>
      <c r="D102" s="122"/>
    </row>
    <row r="103" spans="1:4" x14ac:dyDescent="0.25">
      <c r="A103" s="113" t="s">
        <v>268</v>
      </c>
      <c r="B103" s="129"/>
      <c r="C103" s="11"/>
      <c r="D103" s="122"/>
    </row>
    <row r="104" spans="1:4" x14ac:dyDescent="0.25">
      <c r="A104" s="113" t="s">
        <v>22</v>
      </c>
      <c r="B104" s="129"/>
      <c r="C104" s="11"/>
      <c r="D104" s="122"/>
    </row>
    <row r="105" spans="1:4" x14ac:dyDescent="0.25">
      <c r="A105" s="113" t="s">
        <v>22</v>
      </c>
      <c r="B105" s="129"/>
      <c r="C105" s="11"/>
      <c r="D105" s="122"/>
    </row>
    <row r="106" spans="1:4" x14ac:dyDescent="0.25">
      <c r="A106" s="6" t="s">
        <v>81</v>
      </c>
      <c r="B106" s="7"/>
      <c r="C106" s="126" t="s">
        <v>16</v>
      </c>
      <c r="D106" s="142" t="s">
        <v>17</v>
      </c>
    </row>
    <row r="107" spans="1:4" x14ac:dyDescent="0.25">
      <c r="A107" s="6"/>
      <c r="B107" s="7"/>
      <c r="C107" s="126"/>
      <c r="D107" s="142"/>
    </row>
    <row r="108" spans="1:4" x14ac:dyDescent="0.25">
      <c r="A108" s="130" t="s">
        <v>82</v>
      </c>
      <c r="B108" s="163">
        <f>SUM(B109:B112)</f>
        <v>0</v>
      </c>
      <c r="C108" s="2" t="s">
        <v>83</v>
      </c>
      <c r="D108" s="143"/>
    </row>
    <row r="109" spans="1:4" x14ac:dyDescent="0.25">
      <c r="A109" s="130" t="s">
        <v>274</v>
      </c>
      <c r="B109" s="129"/>
      <c r="C109" s="11"/>
      <c r="D109" s="122"/>
    </row>
    <row r="110" spans="1:4" x14ac:dyDescent="0.25">
      <c r="A110" s="128"/>
      <c r="B110" s="129"/>
      <c r="C110" s="11"/>
      <c r="D110" s="122"/>
    </row>
    <row r="111" spans="1:4" x14ac:dyDescent="0.25">
      <c r="A111" s="128"/>
      <c r="B111" s="129"/>
      <c r="C111" s="11"/>
      <c r="D111" s="122"/>
    </row>
    <row r="112" spans="1:4" x14ac:dyDescent="0.25">
      <c r="A112" s="128"/>
      <c r="B112" s="129"/>
      <c r="C112" s="11"/>
      <c r="D112" s="12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&amp;C&amp;"-,Gras"Plan financier co-accueil lieu tiers</oddHeader>
    <oddFooter>&amp;C&amp;A&amp;R&amp;P/&amp;N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8181"/>
    <pageSetUpPr fitToPage="1"/>
  </sheetPr>
  <dimension ref="A1:E55"/>
  <sheetViews>
    <sheetView zoomScale="96" zoomScaleNormal="96" workbookViewId="0">
      <selection activeCell="B3" sqref="B3"/>
    </sheetView>
  </sheetViews>
  <sheetFormatPr baseColWidth="10" defaultColWidth="11.42578125" defaultRowHeight="15" x14ac:dyDescent="0.25"/>
  <cols>
    <col min="1" max="1" width="39.85546875" customWidth="1"/>
    <col min="2" max="2" width="13.7109375" style="12" bestFit="1" customWidth="1"/>
    <col min="3" max="3" width="25.7109375" style="12" customWidth="1"/>
    <col min="4" max="4" width="25.5703125" customWidth="1"/>
    <col min="5" max="5" width="8" customWidth="1"/>
  </cols>
  <sheetData>
    <row r="1" spans="1:4" ht="30" customHeight="1" x14ac:dyDescent="0.25">
      <c r="A1" s="202" t="s">
        <v>87</v>
      </c>
      <c r="B1" s="202"/>
      <c r="C1" s="202"/>
      <c r="D1" s="202"/>
    </row>
    <row r="2" spans="1:4" x14ac:dyDescent="0.25">
      <c r="A2" s="111" t="s">
        <v>88</v>
      </c>
      <c r="B2" s="125">
        <f>SUM(B3:B8)</f>
        <v>0</v>
      </c>
      <c r="C2" s="117" t="s">
        <v>89</v>
      </c>
      <c r="D2" s="117" t="s">
        <v>17</v>
      </c>
    </row>
    <row r="3" spans="1:4" ht="14.45" customHeight="1" x14ac:dyDescent="0.25">
      <c r="A3" s="113" t="s">
        <v>90</v>
      </c>
      <c r="B3" s="114"/>
      <c r="C3" s="198" t="s">
        <v>85</v>
      </c>
      <c r="D3" s="11"/>
    </row>
    <row r="4" spans="1:4" x14ac:dyDescent="0.25">
      <c r="A4" s="113" t="s">
        <v>91</v>
      </c>
      <c r="B4" s="114"/>
      <c r="C4" s="200"/>
      <c r="D4" s="198"/>
    </row>
    <row r="5" spans="1:4" x14ac:dyDescent="0.25">
      <c r="A5" s="113" t="s">
        <v>92</v>
      </c>
      <c r="B5" s="114"/>
      <c r="C5" s="201"/>
      <c r="D5" s="199"/>
    </row>
    <row r="6" spans="1:4" hidden="1" x14ac:dyDescent="0.25">
      <c r="A6" s="8" t="s">
        <v>22</v>
      </c>
      <c r="B6" s="74"/>
      <c r="C6" s="5"/>
      <c r="D6" s="1"/>
    </row>
    <row r="7" spans="1:4" hidden="1" x14ac:dyDescent="0.25">
      <c r="A7" s="8" t="s">
        <v>22</v>
      </c>
      <c r="B7" s="74"/>
      <c r="C7" s="5"/>
      <c r="D7" s="1"/>
    </row>
    <row r="8" spans="1:4" hidden="1" x14ac:dyDescent="0.25">
      <c r="A8" s="8" t="s">
        <v>22</v>
      </c>
      <c r="B8" s="74"/>
      <c r="C8" s="5"/>
      <c r="D8" s="1"/>
    </row>
    <row r="9" spans="1:4" x14ac:dyDescent="0.25">
      <c r="A9" s="6" t="s">
        <v>93</v>
      </c>
      <c r="B9" s="125">
        <f>SUM(B10:B40)</f>
        <v>0</v>
      </c>
      <c r="C9" s="117" t="s">
        <v>89</v>
      </c>
      <c r="D9" s="117" t="s">
        <v>17</v>
      </c>
    </row>
    <row r="10" spans="1:4" ht="14.45" customHeight="1" x14ac:dyDescent="0.25">
      <c r="A10" s="113" t="s">
        <v>94</v>
      </c>
      <c r="B10" s="114">
        <v>0</v>
      </c>
      <c r="C10" s="81"/>
      <c r="D10" s="198" t="s">
        <v>267</v>
      </c>
    </row>
    <row r="11" spans="1:4" x14ac:dyDescent="0.25">
      <c r="A11" s="113" t="s">
        <v>95</v>
      </c>
      <c r="B11" s="164"/>
      <c r="C11" s="115"/>
      <c r="D11" s="201"/>
    </row>
    <row r="12" spans="1:4" x14ac:dyDescent="0.25">
      <c r="A12" s="113" t="s">
        <v>96</v>
      </c>
      <c r="B12" s="114"/>
      <c r="C12" s="115"/>
      <c r="D12" s="116"/>
    </row>
    <row r="13" spans="1:4" x14ac:dyDescent="0.25">
      <c r="A13" s="113" t="s">
        <v>270</v>
      </c>
      <c r="B13" s="114"/>
      <c r="C13" s="115"/>
      <c r="D13" s="116"/>
    </row>
    <row r="14" spans="1:4" x14ac:dyDescent="0.25">
      <c r="A14" s="113" t="s">
        <v>97</v>
      </c>
      <c r="B14" s="114"/>
      <c r="C14" s="147"/>
      <c r="D14" s="116"/>
    </row>
    <row r="15" spans="1:4" x14ac:dyDescent="0.25">
      <c r="A15" s="113" t="s">
        <v>98</v>
      </c>
      <c r="B15" s="114"/>
      <c r="C15" s="115"/>
      <c r="D15" s="11"/>
    </row>
    <row r="16" spans="1:4" x14ac:dyDescent="0.25">
      <c r="A16" s="113" t="s">
        <v>99</v>
      </c>
      <c r="B16" s="114"/>
      <c r="C16" s="115"/>
      <c r="D16" s="11"/>
    </row>
    <row r="17" spans="1:4" x14ac:dyDescent="0.25">
      <c r="A17" s="113" t="s">
        <v>260</v>
      </c>
      <c r="B17" s="114"/>
      <c r="C17" s="115"/>
      <c r="D17" s="11"/>
    </row>
    <row r="18" spans="1:4" x14ac:dyDescent="0.25">
      <c r="A18" s="113" t="s">
        <v>100</v>
      </c>
      <c r="B18" s="114"/>
      <c r="C18" s="115"/>
      <c r="D18" s="11"/>
    </row>
    <row r="19" spans="1:4" x14ac:dyDescent="0.25">
      <c r="A19" s="113" t="s">
        <v>86</v>
      </c>
      <c r="B19" s="114"/>
      <c r="C19" s="115"/>
      <c r="D19" s="123"/>
    </row>
    <row r="20" spans="1:4" x14ac:dyDescent="0.25">
      <c r="A20" s="113" t="s">
        <v>101</v>
      </c>
      <c r="B20" s="114"/>
      <c r="C20" s="116"/>
      <c r="D20" s="11"/>
    </row>
    <row r="21" spans="1:4" x14ac:dyDescent="0.25">
      <c r="A21" s="113" t="s">
        <v>102</v>
      </c>
      <c r="B21" s="114"/>
      <c r="C21" s="121"/>
      <c r="D21" s="115"/>
    </row>
    <row r="22" spans="1:4" x14ac:dyDescent="0.25">
      <c r="A22" s="113" t="s">
        <v>103</v>
      </c>
      <c r="B22" s="114"/>
      <c r="C22" s="121"/>
      <c r="D22" s="115"/>
    </row>
    <row r="23" spans="1:4" x14ac:dyDescent="0.25">
      <c r="A23" s="113" t="s">
        <v>104</v>
      </c>
      <c r="B23" s="114"/>
      <c r="C23" s="121"/>
      <c r="D23" s="115"/>
    </row>
    <row r="24" spans="1:4" x14ac:dyDescent="0.25">
      <c r="A24" s="113" t="s">
        <v>105</v>
      </c>
      <c r="B24" s="114"/>
      <c r="C24" s="121"/>
      <c r="D24" s="115"/>
    </row>
    <row r="25" spans="1:4" x14ac:dyDescent="0.25">
      <c r="A25" s="113" t="s">
        <v>106</v>
      </c>
      <c r="B25" s="114"/>
      <c r="C25" s="121"/>
      <c r="D25" s="115"/>
    </row>
    <row r="26" spans="1:4" x14ac:dyDescent="0.25">
      <c r="A26" s="113" t="s">
        <v>107</v>
      </c>
      <c r="B26" s="114"/>
      <c r="C26" s="121"/>
      <c r="D26" s="115"/>
    </row>
    <row r="27" spans="1:4" x14ac:dyDescent="0.25">
      <c r="A27" s="113" t="s">
        <v>108</v>
      </c>
      <c r="B27" s="114"/>
      <c r="C27" s="115"/>
      <c r="D27" s="11"/>
    </row>
    <row r="28" spans="1:4" x14ac:dyDescent="0.25">
      <c r="A28" s="113" t="s">
        <v>269</v>
      </c>
      <c r="B28" s="114"/>
      <c r="C28" s="115"/>
      <c r="D28" s="11"/>
    </row>
    <row r="29" spans="1:4" x14ac:dyDescent="0.25">
      <c r="A29" s="113" t="s">
        <v>109</v>
      </c>
      <c r="B29" s="114"/>
      <c r="C29" s="115"/>
      <c r="D29" s="11"/>
    </row>
    <row r="30" spans="1:4" x14ac:dyDescent="0.25">
      <c r="A30" s="113" t="s">
        <v>110</v>
      </c>
      <c r="B30" s="114"/>
      <c r="C30" s="115"/>
      <c r="D30" s="11"/>
    </row>
    <row r="31" spans="1:4" x14ac:dyDescent="0.25">
      <c r="A31" s="113" t="s">
        <v>299</v>
      </c>
      <c r="B31" s="114"/>
      <c r="C31" s="115"/>
      <c r="D31" s="123"/>
    </row>
    <row r="32" spans="1:4" x14ac:dyDescent="0.25">
      <c r="A32" s="113" t="s">
        <v>111</v>
      </c>
      <c r="B32" s="114"/>
      <c r="C32" s="115"/>
      <c r="D32" s="11"/>
    </row>
    <row r="33" spans="1:5" x14ac:dyDescent="0.25">
      <c r="A33" s="113" t="s">
        <v>112</v>
      </c>
      <c r="B33" s="114"/>
      <c r="C33" s="115"/>
      <c r="D33" s="11"/>
    </row>
    <row r="34" spans="1:5" x14ac:dyDescent="0.25">
      <c r="A34" s="113" t="s">
        <v>113</v>
      </c>
      <c r="B34" s="114"/>
      <c r="C34" s="115"/>
      <c r="D34" s="11"/>
    </row>
    <row r="35" spans="1:5" x14ac:dyDescent="0.25">
      <c r="A35" s="113" t="s">
        <v>114</v>
      </c>
      <c r="B35" s="114"/>
      <c r="C35" s="115"/>
      <c r="D35" s="11"/>
    </row>
    <row r="36" spans="1:5" x14ac:dyDescent="0.25">
      <c r="A36" s="113" t="s">
        <v>84</v>
      </c>
      <c r="B36" s="114"/>
      <c r="C36" s="122"/>
      <c r="D36" s="116"/>
    </row>
    <row r="37" spans="1:5" x14ac:dyDescent="0.25">
      <c r="A37" s="113" t="s">
        <v>115</v>
      </c>
      <c r="B37" s="114"/>
      <c r="C37" s="121"/>
      <c r="D37" s="115"/>
    </row>
    <row r="38" spans="1:5" x14ac:dyDescent="0.25">
      <c r="A38" s="113" t="s">
        <v>116</v>
      </c>
      <c r="B38" s="114"/>
      <c r="C38" s="121"/>
      <c r="D38" s="115"/>
    </row>
    <row r="39" spans="1:5" x14ac:dyDescent="0.25">
      <c r="A39" s="113" t="s">
        <v>22</v>
      </c>
      <c r="B39" s="114"/>
      <c r="C39" s="121"/>
      <c r="D39" s="11"/>
    </row>
    <row r="40" spans="1:5" x14ac:dyDescent="0.25">
      <c r="A40" s="113" t="s">
        <v>22</v>
      </c>
      <c r="B40" s="114"/>
      <c r="C40" s="121"/>
      <c r="D40" s="11"/>
      <c r="E40" s="5"/>
    </row>
    <row r="41" spans="1:5" x14ac:dyDescent="0.25">
      <c r="A41" s="124" t="s">
        <v>117</v>
      </c>
      <c r="B41" s="125">
        <f>SUM(B42:B47)</f>
        <v>0</v>
      </c>
      <c r="C41" s="117" t="s">
        <v>89</v>
      </c>
      <c r="D41" s="117" t="s">
        <v>17</v>
      </c>
    </row>
    <row r="42" spans="1:5" x14ac:dyDescent="0.25">
      <c r="A42" s="113" t="s">
        <v>118</v>
      </c>
      <c r="B42" s="114"/>
      <c r="C42" s="11"/>
      <c r="D42" s="11"/>
      <c r="E42" s="5"/>
    </row>
    <row r="43" spans="1:5" x14ac:dyDescent="0.25">
      <c r="A43" s="113" t="s">
        <v>119</v>
      </c>
      <c r="B43" s="114"/>
      <c r="C43" s="11"/>
      <c r="D43" s="11"/>
      <c r="E43" s="5"/>
    </row>
    <row r="44" spans="1:5" x14ac:dyDescent="0.25">
      <c r="A44" s="113" t="s">
        <v>120</v>
      </c>
      <c r="B44" s="114"/>
      <c r="C44" s="11"/>
      <c r="D44" s="115"/>
    </row>
    <row r="45" spans="1:5" x14ac:dyDescent="0.25">
      <c r="A45" s="113" t="s">
        <v>22</v>
      </c>
      <c r="B45" s="114"/>
      <c r="C45" s="11"/>
      <c r="D45" s="11"/>
      <c r="E45" s="5"/>
    </row>
    <row r="46" spans="1:5" x14ac:dyDescent="0.25">
      <c r="A46" s="113" t="s">
        <v>22</v>
      </c>
      <c r="B46" s="114"/>
      <c r="C46" s="11"/>
      <c r="D46" s="11"/>
      <c r="E46" s="5"/>
    </row>
    <row r="47" spans="1:5" x14ac:dyDescent="0.25">
      <c r="A47" s="113" t="s">
        <v>22</v>
      </c>
      <c r="B47" s="114"/>
      <c r="C47" s="11"/>
      <c r="D47" s="11"/>
      <c r="E47" s="5"/>
    </row>
    <row r="48" spans="1:5" x14ac:dyDescent="0.25">
      <c r="A48" s="6" t="s">
        <v>121</v>
      </c>
      <c r="B48" s="125">
        <f>SUM(B49:B54)</f>
        <v>0</v>
      </c>
      <c r="C48" s="117" t="s">
        <v>89</v>
      </c>
      <c r="D48" s="117" t="s">
        <v>17</v>
      </c>
      <c r="E48" s="4"/>
    </row>
    <row r="49" spans="1:5" x14ac:dyDescent="0.25">
      <c r="A49" s="113" t="s">
        <v>122</v>
      </c>
      <c r="B49" s="114"/>
      <c r="C49" s="11"/>
      <c r="D49" s="11"/>
      <c r="E49" s="5"/>
    </row>
    <row r="50" spans="1:5" x14ac:dyDescent="0.25">
      <c r="A50" s="113" t="s">
        <v>123</v>
      </c>
      <c r="B50" s="114"/>
      <c r="C50" s="11"/>
      <c r="D50" s="11"/>
      <c r="E50" s="5"/>
    </row>
    <row r="51" spans="1:5" x14ac:dyDescent="0.25">
      <c r="A51" s="113" t="s">
        <v>124</v>
      </c>
      <c r="B51" s="114"/>
      <c r="C51" s="11"/>
      <c r="D51" s="11"/>
      <c r="E51" s="5"/>
    </row>
    <row r="52" spans="1:5" x14ac:dyDescent="0.25">
      <c r="A52" s="113" t="s">
        <v>22</v>
      </c>
      <c r="B52" s="114"/>
      <c r="C52" s="11"/>
      <c r="D52" s="81"/>
    </row>
    <row r="53" spans="1:5" x14ac:dyDescent="0.25">
      <c r="A53" s="113" t="s">
        <v>22</v>
      </c>
      <c r="B53" s="114"/>
      <c r="C53" s="11"/>
      <c r="D53" s="81"/>
    </row>
    <row r="54" spans="1:5" x14ac:dyDescent="0.25">
      <c r="A54" s="113" t="s">
        <v>22</v>
      </c>
      <c r="B54" s="114"/>
      <c r="C54" s="11"/>
      <c r="D54" s="81"/>
    </row>
    <row r="55" spans="1:5" x14ac:dyDescent="0.25">
      <c r="A55" s="9" t="s">
        <v>125</v>
      </c>
      <c r="B55" s="119">
        <f>SUM(B2+B9+B41+B48)</f>
        <v>0</v>
      </c>
      <c r="C55" s="75"/>
      <c r="D55" s="120"/>
      <c r="E55" s="4"/>
    </row>
  </sheetData>
  <mergeCells count="4">
    <mergeCell ref="D4:D5"/>
    <mergeCell ref="C3:C5"/>
    <mergeCell ref="A1:D1"/>
    <mergeCell ref="D10:D11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&amp;C&amp;"-,Gras"Plan financier co-accueil lieu tiers</oddHeader>
    <oddFooter>&amp;C&amp;A&amp;R&amp;P/&amp;N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8181"/>
    <pageSetUpPr fitToPage="1"/>
  </sheetPr>
  <dimension ref="A1:X25"/>
  <sheetViews>
    <sheetView topLeftCell="A2" zoomScale="91" zoomScaleNormal="91" workbookViewId="0">
      <selection activeCell="E15" sqref="E15"/>
    </sheetView>
  </sheetViews>
  <sheetFormatPr baseColWidth="10" defaultColWidth="11.42578125" defaultRowHeight="15" x14ac:dyDescent="0.25"/>
  <cols>
    <col min="1" max="1" width="17.28515625" customWidth="1"/>
    <col min="2" max="2" width="11" customWidth="1"/>
    <col min="3" max="3" width="11.140625" bestFit="1" customWidth="1"/>
    <col min="4" max="4" width="11.85546875" customWidth="1"/>
    <col min="5" max="5" width="6.7109375" customWidth="1"/>
    <col min="6" max="6" width="10" customWidth="1"/>
    <col min="7" max="7" width="8.140625" customWidth="1"/>
    <col min="8" max="8" width="11" customWidth="1"/>
    <col min="9" max="9" width="12.140625" customWidth="1"/>
    <col min="10" max="10" width="11.42578125" customWidth="1"/>
    <col min="11" max="11" width="9.140625" bestFit="1" customWidth="1"/>
    <col min="12" max="12" width="11.28515625" customWidth="1"/>
    <col min="13" max="13" width="11.140625" customWidth="1"/>
    <col min="14" max="14" width="8.85546875" customWidth="1"/>
    <col min="15" max="15" width="9.28515625" customWidth="1"/>
    <col min="16" max="16" width="9.140625" bestFit="1" customWidth="1"/>
    <col min="17" max="17" width="5.7109375" customWidth="1"/>
    <col min="18" max="18" width="8" customWidth="1"/>
    <col min="19" max="19" width="10.7109375" customWidth="1"/>
    <col min="20" max="20" width="12" customWidth="1"/>
    <col min="21" max="21" width="11.7109375" customWidth="1"/>
    <col min="22" max="23" width="11" bestFit="1" customWidth="1"/>
    <col min="24" max="24" width="19.5703125" customWidth="1"/>
  </cols>
  <sheetData>
    <row r="1" spans="1:24" ht="27.75" customHeight="1" x14ac:dyDescent="0.25">
      <c r="A1" s="194" t="s">
        <v>126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5"/>
    </row>
    <row r="2" spans="1:24" ht="23.1" customHeight="1" x14ac:dyDescent="0.25">
      <c r="A2" s="1" t="str">
        <f>Signalétique!A10</f>
        <v xml:space="preserve">Capacité </v>
      </c>
      <c r="B2" s="1">
        <f>Signalétique!B10</f>
        <v>8</v>
      </c>
    </row>
    <row r="3" spans="1:24" ht="12.6" customHeight="1" x14ac:dyDescent="0.25">
      <c r="E3" s="73"/>
      <c r="F3" s="12"/>
      <c r="G3" s="12"/>
      <c r="H3" s="12"/>
      <c r="Q3" s="77"/>
      <c r="R3" s="77"/>
      <c r="S3" s="77"/>
      <c r="T3" s="77"/>
    </row>
    <row r="4" spans="1:24" ht="14.25" customHeight="1" x14ac:dyDescent="0.25">
      <c r="A4" s="204" t="s">
        <v>127</v>
      </c>
      <c r="B4" s="94" t="s">
        <v>128</v>
      </c>
      <c r="C4" s="95">
        <v>2</v>
      </c>
      <c r="D4" s="96" t="s">
        <v>129</v>
      </c>
      <c r="E4" s="73"/>
      <c r="F4" s="12"/>
      <c r="G4" s="12"/>
      <c r="H4" s="68"/>
      <c r="S4" s="107"/>
      <c r="T4" s="107"/>
    </row>
    <row r="5" spans="1:24" ht="15.75" thickBot="1" x14ac:dyDescent="0.3">
      <c r="A5" s="205"/>
      <c r="B5" s="97" t="s">
        <v>130</v>
      </c>
      <c r="C5" s="171">
        <f>(1/18)*2</f>
        <v>0.1111111111111111</v>
      </c>
      <c r="D5" s="98" t="s">
        <v>129</v>
      </c>
      <c r="E5" s="73"/>
      <c r="F5" s="12"/>
      <c r="G5" s="12"/>
      <c r="H5" s="68"/>
      <c r="I5" s="12"/>
      <c r="J5" s="12"/>
      <c r="Q5" s="118"/>
      <c r="R5" s="118"/>
      <c r="S5" s="174"/>
      <c r="T5" s="174"/>
    </row>
    <row r="6" spans="1:24" ht="28.5" customHeight="1" x14ac:dyDescent="0.25">
      <c r="A6" s="204" t="s">
        <v>281</v>
      </c>
      <c r="B6" s="179" t="s">
        <v>132</v>
      </c>
      <c r="C6" s="99"/>
      <c r="D6" s="100" t="s">
        <v>129</v>
      </c>
      <c r="F6" s="214" t="s">
        <v>244</v>
      </c>
      <c r="G6" s="215"/>
      <c r="H6" s="216"/>
      <c r="Q6" s="118"/>
      <c r="R6" s="118"/>
      <c r="S6" s="172"/>
      <c r="T6" s="172"/>
    </row>
    <row r="7" spans="1:24" ht="15.75" thickBot="1" x14ac:dyDescent="0.3">
      <c r="A7" s="205"/>
      <c r="B7" s="68" t="s">
        <v>133</v>
      </c>
      <c r="C7" s="101"/>
      <c r="D7" s="102" t="s">
        <v>129</v>
      </c>
      <c r="F7" s="149" t="s">
        <v>245</v>
      </c>
      <c r="G7" s="217">
        <f>3*(H18+(M18/12))</f>
        <v>23980.370363394097</v>
      </c>
      <c r="H7" s="218"/>
      <c r="Q7" s="118"/>
      <c r="R7" s="118"/>
      <c r="S7" s="173"/>
      <c r="T7" s="173"/>
    </row>
    <row r="8" spans="1:24" x14ac:dyDescent="0.25">
      <c r="A8" s="206"/>
      <c r="B8" s="67" t="s">
        <v>134</v>
      </c>
      <c r="C8" s="103"/>
      <c r="D8" s="104" t="s">
        <v>129</v>
      </c>
      <c r="R8" s="118"/>
      <c r="T8" s="173"/>
    </row>
    <row r="9" spans="1:24" s="79" customFormat="1" ht="24" x14ac:dyDescent="0.25">
      <c r="I9" s="107" t="s">
        <v>135</v>
      </c>
      <c r="J9" s="118"/>
      <c r="K9" s="118"/>
      <c r="L9" s="107" t="s">
        <v>135</v>
      </c>
      <c r="M9" s="118"/>
      <c r="P9" s="140" t="s">
        <v>277</v>
      </c>
      <c r="Q9" s="208" t="s">
        <v>284</v>
      </c>
      <c r="R9" s="208"/>
      <c r="S9" s="173">
        <v>0.25</v>
      </c>
      <c r="T9" s="176"/>
    </row>
    <row r="10" spans="1:24" ht="21.6" customHeight="1" x14ac:dyDescent="0.25">
      <c r="A10" s="71" t="s">
        <v>136</v>
      </c>
      <c r="B10" s="212">
        <f>V18</f>
        <v>106465.22854034015</v>
      </c>
      <c r="C10" s="213"/>
      <c r="I10" s="91">
        <v>0.35</v>
      </c>
      <c r="L10" s="91">
        <v>0.3483</v>
      </c>
      <c r="O10" s="91">
        <v>8.2699999999999996E-3</v>
      </c>
      <c r="P10" s="92">
        <v>121.11</v>
      </c>
      <c r="Q10" s="209" t="s">
        <v>137</v>
      </c>
      <c r="R10" s="210"/>
      <c r="S10" s="211"/>
      <c r="T10" s="177"/>
      <c r="U10" s="140"/>
      <c r="W10" s="140" t="s">
        <v>138</v>
      </c>
    </row>
    <row r="11" spans="1:24" s="14" customFormat="1" ht="51" x14ac:dyDescent="0.25">
      <c r="A11" s="133" t="s">
        <v>139</v>
      </c>
      <c r="B11" s="133" t="s">
        <v>140</v>
      </c>
      <c r="C11" s="133" t="s">
        <v>141</v>
      </c>
      <c r="D11" s="133" t="s">
        <v>142</v>
      </c>
      <c r="E11" s="133" t="s">
        <v>285</v>
      </c>
      <c r="F11" s="133" t="s">
        <v>144</v>
      </c>
      <c r="G11" s="133" t="s">
        <v>129</v>
      </c>
      <c r="H11" s="133" t="s">
        <v>145</v>
      </c>
      <c r="I11" s="133" t="s">
        <v>146</v>
      </c>
      <c r="J11" s="133" t="s">
        <v>147</v>
      </c>
      <c r="K11" s="133" t="s">
        <v>148</v>
      </c>
      <c r="L11" s="133" t="s">
        <v>149</v>
      </c>
      <c r="M11" s="133" t="s">
        <v>150</v>
      </c>
      <c r="N11" s="133" t="s">
        <v>151</v>
      </c>
      <c r="O11" s="133" t="s">
        <v>152</v>
      </c>
      <c r="P11" s="133" t="s">
        <v>153</v>
      </c>
      <c r="Q11" s="133" t="s">
        <v>154</v>
      </c>
      <c r="R11" s="133" t="s">
        <v>155</v>
      </c>
      <c r="S11" s="133" t="s">
        <v>156</v>
      </c>
      <c r="T11" s="133" t="s">
        <v>157</v>
      </c>
      <c r="U11" s="133" t="s">
        <v>286</v>
      </c>
      <c r="V11" s="133" t="s">
        <v>158</v>
      </c>
      <c r="W11" s="133" t="s">
        <v>159</v>
      </c>
      <c r="X11" s="133" t="s">
        <v>160</v>
      </c>
    </row>
    <row r="12" spans="1:24" s="13" customFormat="1" ht="12.75" x14ac:dyDescent="0.2">
      <c r="A12" s="32" t="s">
        <v>128</v>
      </c>
      <c r="B12" s="32" t="s">
        <v>161</v>
      </c>
      <c r="C12" s="72" t="s">
        <v>162</v>
      </c>
      <c r="D12" s="178" t="s">
        <v>163</v>
      </c>
      <c r="E12" s="72">
        <v>0</v>
      </c>
      <c r="F12" s="69">
        <f>IF(A12=$B$4,VLOOKUP(E12,'Barèmes CP332 et subs ONE'!$A$7:$Y$47,4,FALSE),IF(A12=$B$5,VLOOKUP(E12,'Barèmes CP332 et subs ONE'!$A$7:$Y$47,9,FALSE),
IF(A12=$B$6,VLOOKUP(E12,'Barèmes CP332 et subs ONE'!$A$7:$Y$47,19,FALSE),
IF(A12=$B$7,VLOOKUP(E12,'Barèmes CP332 et subs ONE'!$A$7:$Y$47,22,FALSE),IF(A12=$B$8,VLOOKUP(E12,'Barèmes CP332 et subs ONE'!$A$7:$Y$47,25,FALSE),0)))))</f>
        <v>2584.4522845840006</v>
      </c>
      <c r="G12" s="72">
        <v>1</v>
      </c>
      <c r="H12" s="15">
        <f>F12*G12</f>
        <v>2584.4522845840006</v>
      </c>
      <c r="I12" s="132">
        <f t="shared" ref="I12:I17" si="0">IF(B12=$X$21,F12*G12*12,F12*G12*11)</f>
        <v>31013.427415008009</v>
      </c>
      <c r="J12" s="132">
        <f t="shared" ref="J12:J17" si="1">IF(($B12=$X$21),H12*$X$24,0)</f>
        <v>2377.6961018172806</v>
      </c>
      <c r="K12" s="132">
        <f>IF(B12=$W$21,$I12*$W$23*$W$24,0)</f>
        <v>0</v>
      </c>
      <c r="L12" s="15">
        <f>IF(H12&gt;0,(('Barèmes CP332 et subs ONE'!$B$50*G12)+(12*'Barèmes CP332 et subs ONE'!$B$51*Emploi!H12)),0)</f>
        <v>1229.3517853752003</v>
      </c>
      <c r="M12" s="15">
        <f t="shared" ref="M12:M17" si="2">I12*$I$10</f>
        <v>10854.699595252803</v>
      </c>
      <c r="N12" s="15">
        <f t="shared" ref="N12:N17" si="3">L12*$L$10</f>
        <v>428.18322684618227</v>
      </c>
      <c r="O12" s="15">
        <f t="shared" ref="O12:O17" si="4">(I12+J12+L12)*$O$10</f>
        <v>286.31133074919802</v>
      </c>
      <c r="P12" s="15">
        <f>IF(A12&lt;&gt;0,$P$10,0)</f>
        <v>121.11</v>
      </c>
      <c r="Q12" s="134">
        <v>5</v>
      </c>
      <c r="R12" s="134">
        <v>4</v>
      </c>
      <c r="S12" s="132">
        <f>$Q12*2*$R12*$S$9*4*11</f>
        <v>440</v>
      </c>
      <c r="T12" s="132"/>
      <c r="U12" s="153"/>
      <c r="V12" s="132">
        <f>I12+J12+L12+M12+N12+O12+P12+S12+T12</f>
        <v>46750.779455048665</v>
      </c>
      <c r="W12" s="15">
        <f>IF($C12="OUI",IF($B12=$W$21,$I12*$W$23*$W$22,$I12*$X$22),0)</f>
        <v>5644.4437895314577</v>
      </c>
      <c r="X12" s="86"/>
    </row>
    <row r="13" spans="1:24" s="13" customFormat="1" ht="12.75" x14ac:dyDescent="0.2">
      <c r="A13" s="32" t="s">
        <v>128</v>
      </c>
      <c r="B13" s="32" t="s">
        <v>161</v>
      </c>
      <c r="C13" s="72" t="s">
        <v>162</v>
      </c>
      <c r="D13" s="178" t="s">
        <v>163</v>
      </c>
      <c r="E13" s="72">
        <v>0</v>
      </c>
      <c r="F13" s="69">
        <f>IF(A13=$B$4,VLOOKUP(E13,'Barèmes CP332 et subs ONE'!$A$7:$Y$47,4,FALSE),IF(A13=$B$5,VLOOKUP(E13,'Barèmes CP332 et subs ONE'!$A$7:$Y$47,9,FALSE),
IF(A13=$B$6,VLOOKUP(E13,'Barèmes CP332 et subs ONE'!$A$7:$Y$47,19,FALSE),
IF(A13=$B$7,VLOOKUP(E13,'Barèmes CP332 et subs ONE'!$A$7:$Y$47,22,FALSE),IF(A13=$B$8,VLOOKUP(E13,'Barèmes CP332 et subs ONE'!$A$7:$Y$47,25,FALSE),0)))))</f>
        <v>2584.4522845840006</v>
      </c>
      <c r="G13" s="72">
        <v>1</v>
      </c>
      <c r="H13" s="15">
        <f t="shared" ref="H13:H14" si="5">F13*G13</f>
        <v>2584.4522845840006</v>
      </c>
      <c r="I13" s="132">
        <f t="shared" si="0"/>
        <v>31013.427415008009</v>
      </c>
      <c r="J13" s="132">
        <f t="shared" si="1"/>
        <v>2377.6961018172806</v>
      </c>
      <c r="K13" s="132">
        <f>IF(B13=$W$21,$I13*$W$23*$W$24,0)</f>
        <v>0</v>
      </c>
      <c r="L13" s="15">
        <f>IF(H13&gt;0,(('Barèmes CP332 et subs ONE'!$B$50*G13)+(12*'Barèmes CP332 et subs ONE'!$B$51*Emploi!H13)),0)</f>
        <v>1229.3517853752003</v>
      </c>
      <c r="M13" s="15">
        <f t="shared" si="2"/>
        <v>10854.699595252803</v>
      </c>
      <c r="N13" s="15">
        <f t="shared" si="3"/>
        <v>428.18322684618227</v>
      </c>
      <c r="O13" s="15">
        <f t="shared" si="4"/>
        <v>286.31133074919802</v>
      </c>
      <c r="P13" s="15">
        <f>IF(A13&lt;&gt;0,$P$10,0)</f>
        <v>121.11</v>
      </c>
      <c r="Q13" s="134">
        <v>4</v>
      </c>
      <c r="R13" s="134">
        <v>4</v>
      </c>
      <c r="S13" s="132">
        <f t="shared" ref="S13:S17" si="6">$Q13*2*$R13*$S$9*4*11</f>
        <v>352</v>
      </c>
      <c r="T13" s="132"/>
      <c r="U13" s="153"/>
      <c r="V13" s="132">
        <f t="shared" ref="V13:V17" si="7">I13+J13+L13+M13+N13+O13+P13+S13+T13</f>
        <v>46662.779455048665</v>
      </c>
      <c r="W13" s="15">
        <f>IF($C13="OUI",IF($B13=$W$21,$I13*$W$23*$W$22,$I13*$X$22),0)</f>
        <v>5644.4437895314577</v>
      </c>
      <c r="X13" s="86"/>
    </row>
    <row r="14" spans="1:24" s="13" customFormat="1" ht="12.75" x14ac:dyDescent="0.2">
      <c r="A14" s="32"/>
      <c r="B14" s="32"/>
      <c r="C14" s="72"/>
      <c r="D14" s="178"/>
      <c r="E14" s="72"/>
      <c r="F14" s="69">
        <f>IF(A14=$B$4,VLOOKUP(E14,'Barèmes CP332 et subs ONE'!$A$7:$Y$47,4,FALSE),IF(A14=$B$5,VLOOKUP(E14,'Barèmes CP332 et subs ONE'!$A$7:$Y$47,9,FALSE),
IF(A14=$B$6,VLOOKUP(E14,'Barèmes CP332 et subs ONE'!$A$7:$Y$47,19,FALSE),
IF(A14=$B$7,VLOOKUP(E14,'Barèmes CP332 et subs ONE'!$A$7:$Y$47,22,FALSE),IF(A14=$B$8,VLOOKUP(E14,'Barèmes CP332 et subs ONE'!$A$7:$Y$47,25,FALSE),0)))))</f>
        <v>0</v>
      </c>
      <c r="G14" s="72"/>
      <c r="H14" s="15">
        <f t="shared" si="5"/>
        <v>0</v>
      </c>
      <c r="I14" s="132">
        <f t="shared" si="0"/>
        <v>0</v>
      </c>
      <c r="J14" s="132">
        <f t="shared" si="1"/>
        <v>0</v>
      </c>
      <c r="K14" s="132">
        <f>IF(B14=$W$21,$I14*$W$23*$W$24,0)</f>
        <v>0</v>
      </c>
      <c r="L14" s="15">
        <f>IF(H14&gt;0,(('Barèmes CP332 et subs ONE'!$B$50*G14)+(12*'Barèmes CP332 et subs ONE'!$B$51*Emploi!H14)),0)</f>
        <v>0</v>
      </c>
      <c r="M14" s="15">
        <f t="shared" si="2"/>
        <v>0</v>
      </c>
      <c r="N14" s="15">
        <f t="shared" si="3"/>
        <v>0</v>
      </c>
      <c r="O14" s="15">
        <f t="shared" si="4"/>
        <v>0</v>
      </c>
      <c r="P14" s="15">
        <f>IF(A14&lt;&gt;0,$P$10,0)</f>
        <v>0</v>
      </c>
      <c r="Q14" s="134"/>
      <c r="R14" s="134"/>
      <c r="S14" s="132">
        <f t="shared" si="6"/>
        <v>0</v>
      </c>
      <c r="T14" s="132"/>
      <c r="U14" s="153"/>
      <c r="V14" s="132">
        <f t="shared" si="7"/>
        <v>0</v>
      </c>
      <c r="W14" s="15">
        <f>IF($C14="OUI",IF($B14=$W$21,$I14*$W$23*$W$22,$I14*$X$22),0)</f>
        <v>0</v>
      </c>
      <c r="X14" s="86"/>
    </row>
    <row r="15" spans="1:24" s="13" customFormat="1" ht="12.75" x14ac:dyDescent="0.2">
      <c r="A15" s="32" t="s">
        <v>130</v>
      </c>
      <c r="B15" s="32" t="s">
        <v>161</v>
      </c>
      <c r="C15" s="72" t="s">
        <v>271</v>
      </c>
      <c r="D15" s="178" t="s">
        <v>163</v>
      </c>
      <c r="E15" s="72"/>
      <c r="F15" s="69">
        <f>IF(A15=$B$4,VLOOKUP(E15,'Barèmes CP332 et subs ONE'!$A$7:$Y$47,4,FALSE),IF(A15=$B$5,VLOOKUP(E15,'Barèmes CP332 et subs ONE'!$A$7:$Y$47,9,FALSE),
IF(A15=$B$6,VLOOKUP(E15,'Barèmes CP332 et subs ONE'!$A$7:$Y$47,19,FALSE),
IF(A15=$B$7,VLOOKUP(E15,'Barèmes CP332 et subs ONE'!$A$7:$Y$47,22,FALSE),IF(A15=$B$8,VLOOKUP(E15,'Barèmes CP332 et subs ONE'!$A$7:$Y$47,25,FALSE),0)))))</f>
        <v>3000.6260196666667</v>
      </c>
      <c r="G15" s="167">
        <f>(1/18)*2</f>
        <v>0.1111111111111111</v>
      </c>
      <c r="H15" s="15">
        <f>F15*G15</f>
        <v>333.40289107407403</v>
      </c>
      <c r="I15" s="132">
        <f t="shared" si="0"/>
        <v>4000.8346928888886</v>
      </c>
      <c r="J15" s="132">
        <f t="shared" si="1"/>
        <v>306.7306597881481</v>
      </c>
      <c r="K15" s="132">
        <f>IF(B15=$W$21,$I15*$W$23*$W$24,0)</f>
        <v>0</v>
      </c>
      <c r="L15" s="15">
        <f>IF(H15&gt;0,(('Barèmes CP332 et subs ONE'!$B$50*G15)+(12*'Barèmes CP332 et subs ONE'!$B$51*Emploi!H15)),0)</f>
        <v>150.46710065555556</v>
      </c>
      <c r="M15" s="15">
        <f t="shared" si="2"/>
        <v>1400.292142511111</v>
      </c>
      <c r="N15" s="15">
        <f t="shared" si="3"/>
        <v>52.407691158330003</v>
      </c>
      <c r="O15" s="15">
        <f t="shared" si="4"/>
        <v>36.867928389060538</v>
      </c>
      <c r="P15" s="15">
        <f>IF(A15&lt;&gt;0,$P$10,0)*G15</f>
        <v>13.456666666666665</v>
      </c>
      <c r="Q15" s="134">
        <v>10</v>
      </c>
      <c r="R15" s="134">
        <v>0.5</v>
      </c>
      <c r="S15" s="132">
        <f t="shared" si="6"/>
        <v>110</v>
      </c>
      <c r="T15" s="132"/>
      <c r="U15" s="153"/>
      <c r="V15" s="132">
        <f>I15+J15+L15+M15+N15+O15+P15+S15+T15</f>
        <v>6071.05688205776</v>
      </c>
      <c r="W15" s="15">
        <f t="shared" ref="W15:W17" si="8">IF($C15="OUI",IF($B15=$W$21,$I15*$W$23*$W$22,$I15*$X$22),0)</f>
        <v>0</v>
      </c>
      <c r="X15" s="86"/>
    </row>
    <row r="16" spans="1:24" x14ac:dyDescent="0.25">
      <c r="A16" s="32" t="s">
        <v>133</v>
      </c>
      <c r="B16" s="32" t="s">
        <v>167</v>
      </c>
      <c r="C16" s="72" t="s">
        <v>162</v>
      </c>
      <c r="D16" s="178" t="s">
        <v>164</v>
      </c>
      <c r="E16" s="72">
        <v>0</v>
      </c>
      <c r="F16" s="69">
        <f>IF(A16=$B$4,VLOOKUP(E16,'Barèmes CP332 et subs ONE'!$A$7:$Y$47,4,FALSE),IF(A16=$B$5,VLOOKUP(E16,'Barèmes CP332 et subs ONE'!$A$7:$Y$47,9,FALSE),
IF(A16=$B$6,VLOOKUP(E16,'Barèmes CP332 et subs ONE'!$A$7:$Y$47,19,FALSE),
IF(A16=$B$7,VLOOKUP(E16,'Barèmes CP332 et subs ONE'!$A$7:$Y$47,22,FALSE),IF(A16=$B$8,VLOOKUP(E16,'Barèmes CP332 et subs ONE'!$A$7:$Y$47,25,FALSE),0)))))</f>
        <v>2140.0948257586001</v>
      </c>
      <c r="G16" s="167">
        <v>0.2</v>
      </c>
      <c r="H16" s="15">
        <f>F16*G16</f>
        <v>428.01896515172007</v>
      </c>
      <c r="I16" s="132">
        <f t="shared" si="0"/>
        <v>4708.2086166689205</v>
      </c>
      <c r="J16" s="132">
        <f t="shared" si="1"/>
        <v>0</v>
      </c>
      <c r="K16" s="132">
        <f>IF(B16=$W$21,$I16*$W$23*$W$24,0)</f>
        <v>782.0522840631744</v>
      </c>
      <c r="L16" s="15">
        <f>IF(H16&gt;0,(('Barèmes CP332 et subs ONE'!$B$50*G16)+(12*'Barèmes CP332 et subs ONE'!$B$51*Emploi!H16)),0)</f>
        <v>219.20890954551604</v>
      </c>
      <c r="M16" s="15">
        <f t="shared" si="2"/>
        <v>1647.873015834122</v>
      </c>
      <c r="N16" s="15">
        <f t="shared" si="3"/>
        <v>76.350463194703238</v>
      </c>
      <c r="O16" s="15">
        <f t="shared" si="4"/>
        <v>40.749742941793386</v>
      </c>
      <c r="P16" s="15">
        <f>IF(A16&lt;&gt;0,$P$10,0)*G16</f>
        <v>24.222000000000001</v>
      </c>
      <c r="Q16" s="175">
        <v>12</v>
      </c>
      <c r="R16" s="134">
        <v>1</v>
      </c>
      <c r="S16" s="132">
        <f t="shared" si="6"/>
        <v>264</v>
      </c>
      <c r="T16" s="132"/>
      <c r="U16" s="153"/>
      <c r="V16" s="132">
        <f>I16+J16+L16+M16+N16+O16+P16+S16+T16</f>
        <v>6980.6127481850554</v>
      </c>
      <c r="W16" s="15">
        <f t="shared" si="8"/>
        <v>522.21566692645001</v>
      </c>
      <c r="X16" s="86"/>
    </row>
    <row r="17" spans="1:24" s="13" customFormat="1" ht="12.75" x14ac:dyDescent="0.2">
      <c r="A17" s="32"/>
      <c r="B17" s="32"/>
      <c r="C17" s="72"/>
      <c r="D17" s="178"/>
      <c r="E17" s="72"/>
      <c r="F17" s="69">
        <f>IF(A17=$B$4,VLOOKUP(E17,'Barèmes CP332 et subs ONE'!$A$7:$Y$47,4,FALSE),IF(A17=$B$5,VLOOKUP(E17,'Barèmes CP332 et subs ONE'!$A$7:$Y$47,9,FALSE),
IF(A17=$B$6,VLOOKUP(E17,'Barèmes CP332 et subs ONE'!$A$7:$Y$47,19,FALSE),
IF(A17=$B$7,VLOOKUP(E17,'Barèmes CP332 et subs ONE'!$A$7:$Y$47,22,FALSE),IF(A17=$B$8,VLOOKUP(E17,'Barèmes CP332 et subs ONE'!$A$7:$Y$47,25,FALSE),0)))))</f>
        <v>0</v>
      </c>
      <c r="G17" s="72"/>
      <c r="H17" s="15">
        <f t="shared" ref="H17" si="9">F17*G17</f>
        <v>0</v>
      </c>
      <c r="I17" s="132">
        <f t="shared" si="0"/>
        <v>0</v>
      </c>
      <c r="J17" s="132">
        <f t="shared" si="1"/>
        <v>0</v>
      </c>
      <c r="K17" s="132">
        <f t="shared" ref="K17" si="10">IF(B17=$W$21,$I17*$W$23*$W$24,0)</f>
        <v>0</v>
      </c>
      <c r="L17" s="15">
        <f>IF(H17&gt;0,(('Barèmes CP332 et subs ONE'!$B$50*G17)+(12*'Barèmes CP332 et subs ONE'!$B$51*Emploi!H17)),0)</f>
        <v>0</v>
      </c>
      <c r="M17" s="15">
        <f t="shared" si="2"/>
        <v>0</v>
      </c>
      <c r="N17" s="15">
        <f t="shared" si="3"/>
        <v>0</v>
      </c>
      <c r="O17" s="15">
        <f t="shared" si="4"/>
        <v>0</v>
      </c>
      <c r="P17" s="15">
        <f>IF(A17&lt;&gt;0,$P$10,0)</f>
        <v>0</v>
      </c>
      <c r="Q17" s="134"/>
      <c r="R17" s="134"/>
      <c r="S17" s="132">
        <f t="shared" si="6"/>
        <v>0</v>
      </c>
      <c r="T17" s="132"/>
      <c r="U17" s="153"/>
      <c r="V17" s="132">
        <f t="shared" si="7"/>
        <v>0</v>
      </c>
      <c r="W17" s="15">
        <f t="shared" si="8"/>
        <v>0</v>
      </c>
      <c r="X17" s="86"/>
    </row>
    <row r="18" spans="1:24" s="13" customFormat="1" ht="12.75" x14ac:dyDescent="0.2">
      <c r="A18" s="16" t="s">
        <v>125</v>
      </c>
      <c r="B18" s="16"/>
      <c r="C18" s="16"/>
      <c r="D18" s="16"/>
      <c r="E18" s="17"/>
      <c r="F18" s="17"/>
      <c r="G18" s="168">
        <f>SUM(G12:G17)</f>
        <v>2.3111111111111113</v>
      </c>
      <c r="H18" s="17">
        <f t="shared" ref="H18:P18" si="11">SUM(H12:H17)</f>
        <v>5930.3264253937959</v>
      </c>
      <c r="I18" s="17">
        <f t="shared" si="11"/>
        <v>70735.898139573837</v>
      </c>
      <c r="J18" s="135">
        <f t="shared" si="11"/>
        <v>5062.1228634227091</v>
      </c>
      <c r="K18" s="135">
        <f t="shared" si="11"/>
        <v>782.0522840631744</v>
      </c>
      <c r="L18" s="17">
        <f t="shared" si="11"/>
        <v>2828.3795809514722</v>
      </c>
      <c r="M18" s="17">
        <f t="shared" si="11"/>
        <v>24757.564348850839</v>
      </c>
      <c r="N18" s="17">
        <f t="shared" si="11"/>
        <v>985.12460804539774</v>
      </c>
      <c r="O18" s="17">
        <f t="shared" si="11"/>
        <v>650.24033282925006</v>
      </c>
      <c r="P18" s="17">
        <f t="shared" si="11"/>
        <v>279.89866666666666</v>
      </c>
      <c r="Q18" s="17"/>
      <c r="R18" s="17"/>
      <c r="S18" s="135">
        <f>SUM(S12:S17)</f>
        <v>1166</v>
      </c>
      <c r="T18" s="135"/>
      <c r="U18" s="17">
        <f>SUM(U12:U17)</f>
        <v>0</v>
      </c>
      <c r="V18" s="135">
        <f>SUM(V12:V17)</f>
        <v>106465.22854034015</v>
      </c>
      <c r="W18" s="17">
        <f>SUM(W12:W17)</f>
        <v>11811.103245989365</v>
      </c>
    </row>
    <row r="19" spans="1:24" ht="7.7" customHeight="1" x14ac:dyDescent="0.25"/>
    <row r="20" spans="1:24" ht="32.450000000000003" customHeight="1" x14ac:dyDescent="0.25">
      <c r="A20" s="203" t="s">
        <v>166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</row>
    <row r="21" spans="1:24" ht="14.45" customHeight="1" x14ac:dyDescent="0.25">
      <c r="A21" s="203" t="s">
        <v>234</v>
      </c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78" t="s">
        <v>167</v>
      </c>
      <c r="X21" s="78" t="s">
        <v>161</v>
      </c>
    </row>
    <row r="22" spans="1:24" x14ac:dyDescent="0.25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93">
        <v>0.1027</v>
      </c>
      <c r="X22" s="93">
        <v>0.182</v>
      </c>
    </row>
    <row r="23" spans="1:24" x14ac:dyDescent="0.25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90">
        <v>1.08</v>
      </c>
      <c r="X23" s="90"/>
    </row>
    <row r="24" spans="1:24" ht="54" customHeight="1" x14ac:dyDescent="0.25">
      <c r="A24" s="203" t="s">
        <v>282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93">
        <v>0.15379999999999999</v>
      </c>
      <c r="X24" s="93">
        <v>0.92</v>
      </c>
    </row>
    <row r="25" spans="1:24" ht="27" customHeight="1" x14ac:dyDescent="0.25">
      <c r="A25" s="31" t="s">
        <v>283</v>
      </c>
    </row>
  </sheetData>
  <mergeCells count="11">
    <mergeCell ref="A1:X1"/>
    <mergeCell ref="A21:V23"/>
    <mergeCell ref="A6:A8"/>
    <mergeCell ref="A20:V20"/>
    <mergeCell ref="A24:V24"/>
    <mergeCell ref="Q9:R9"/>
    <mergeCell ref="Q10:S10"/>
    <mergeCell ref="A4:A5"/>
    <mergeCell ref="B10:C10"/>
    <mergeCell ref="F6:H6"/>
    <mergeCell ref="G7:H7"/>
  </mergeCells>
  <dataValidations count="3">
    <dataValidation type="whole" allowBlank="1" showInputMessage="1" showErrorMessage="1" sqref="E12:E17" xr:uid="{00000000-0002-0000-0400-000000000000}">
      <formula1>0</formula1>
      <formula2>40</formula2>
    </dataValidation>
    <dataValidation type="list" allowBlank="1" showInputMessage="1" showErrorMessage="1" sqref="A12:A17" xr:uid="{00000000-0002-0000-0400-000001000000}">
      <formula1>$B$4:$B$8</formula1>
    </dataValidation>
    <dataValidation type="list" allowBlank="1" showInputMessage="1" showErrorMessage="1" sqref="B12:B17" xr:uid="{00000000-0002-0000-0400-000002000000}">
      <formula1>$W$21:$X$21</formula1>
    </dataValidation>
  </dataValidations>
  <pageMargins left="0.51181102362204722" right="0.51181102362204722" top="0.74803149606299213" bottom="0.74803149606299213" header="0.31496062992125984" footer="0.31496062992125984"/>
  <pageSetup paperSize="9" scale="52" fitToHeight="0" orientation="landscape" r:id="rId1"/>
  <headerFooter>
    <oddHeader>&amp;C&amp;"-,Gras"Plan financier co-accueil lieu tiers</oddHeader>
    <oddFooter>&amp;C&amp;A&amp;R&amp;P/&amp;N</oddFoot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11438362-25FA-41B8-B22F-A28C21B0635D}">
            <xm:f>NOT(ISERROR(SEARCH('Barèmes CP332 et subs ONE'!$L$3,A12)))</xm:f>
            <xm:f>'Barèmes CP332 et subs ONE'!$L$3</xm:f>
            <x14:dxf>
              <fill>
                <patternFill>
                  <bgColor theme="5" tint="0.79998168889431442"/>
                </patternFill>
              </fill>
            </x14:dxf>
          </x14:cfRule>
          <xm:sqref>A12:C17</xm:sqref>
        </x14:conditionalFormatting>
        <x14:conditionalFormatting xmlns:xm="http://schemas.microsoft.com/office/excel/2006/main">
          <x14:cfRule type="containsText" priority="5" operator="containsText" id="{6B5D6584-B5E6-4781-8F76-75E51466A1BC}">
            <xm:f>NOT(ISERROR(SEARCH($B$5,A12)))</xm:f>
            <xm:f>$B$5</xm:f>
            <x14:dxf>
              <fill>
                <patternFill>
                  <bgColor theme="7" tint="0.79998168889431442"/>
                </patternFill>
              </fill>
            </x14:dxf>
          </x14:cfRule>
          <x14:cfRule type="containsText" priority="6" operator="containsText" id="{5204BF22-BCCB-44B4-826C-86B31D0D8A3E}">
            <xm:f>NOT(ISERROR(SEARCH('Normes encadrement'!$B$2,A12)))</xm:f>
            <xm:f>'Normes encadrement'!$B$2</xm:f>
            <x14:dxf>
              <fill>
                <patternFill>
                  <bgColor theme="9" tint="0.79998168889431442"/>
                </patternFill>
              </fill>
            </x14:dxf>
          </x14:cfRule>
          <xm:sqref>A12:D17</xm:sqref>
        </x14:conditionalFormatting>
        <x14:conditionalFormatting xmlns:xm="http://schemas.microsoft.com/office/excel/2006/main">
          <x14:cfRule type="containsText" priority="3" operator="containsText" id="{7BC8F4A9-37A6-4B27-80AC-AD328FCA9A73}">
            <xm:f>NOT(ISERROR(SEARCH(OR('Financements emploi'!$A$6,'Financements emploi'!$A$7),E12)))</xm:f>
            <xm:f>OR('Financements emploi'!$A$6,'Financements emploi'!$A$7)</xm:f>
            <x14:dxf>
              <fill>
                <patternFill patternType="lightUp">
                  <fgColor theme="0" tint="-0.24994659260841701"/>
                  <bgColor auto="1"/>
                </patternFill>
              </fill>
            </x14:dxf>
          </x14:cfRule>
          <xm:sqref>E12:G12 I12:U17 W12:W17 F13:F17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3000000}">
          <x14:formula1>
            <xm:f>'Financements emploi'!$A$3:$A$8</xm:f>
          </x14:formula1>
          <xm:sqref>D12:D17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C44"/>
  <sheetViews>
    <sheetView topLeftCell="A9" zoomScale="89" zoomScaleNormal="89" workbookViewId="0">
      <selection activeCell="C35" sqref="C35"/>
    </sheetView>
  </sheetViews>
  <sheetFormatPr baseColWidth="10" defaultColWidth="11.42578125" defaultRowHeight="15" x14ac:dyDescent="0.25"/>
  <cols>
    <col min="1" max="1" width="53.85546875" customWidth="1"/>
    <col min="2" max="2" width="14.140625" customWidth="1"/>
    <col min="3" max="3" width="39.5703125" style="19" bestFit="1" customWidth="1"/>
  </cols>
  <sheetData>
    <row r="1" spans="1:3" ht="27.6" customHeight="1" x14ac:dyDescent="0.25">
      <c r="A1" s="194" t="s">
        <v>168</v>
      </c>
      <c r="B1" s="197"/>
      <c r="C1" s="195"/>
    </row>
    <row r="3" spans="1:3" x14ac:dyDescent="0.25">
      <c r="A3" s="6" t="s">
        <v>276</v>
      </c>
      <c r="B3" s="7">
        <f>(SUMIF(Emploi!A12:A17,Emploi!B4,(Emploi!I12:I17)))*0.15</f>
        <v>9304.0282245024027</v>
      </c>
      <c r="C3" s="166" t="s">
        <v>289</v>
      </c>
    </row>
    <row r="4" spans="1:3" s="12" customFormat="1" ht="12.75" x14ac:dyDescent="0.2">
      <c r="C4" s="13"/>
    </row>
    <row r="5" spans="1:3" s="12" customFormat="1" x14ac:dyDescent="0.2">
      <c r="A5" s="6" t="s">
        <v>170</v>
      </c>
      <c r="B5" s="7">
        <f>'Financement ONE'!B22</f>
        <v>103100.67565573165</v>
      </c>
      <c r="C5" s="13"/>
    </row>
    <row r="6" spans="1:3" s="12" customFormat="1" ht="12.75" x14ac:dyDescent="0.2">
      <c r="C6" s="13"/>
    </row>
    <row r="7" spans="1:3" s="12" customFormat="1" x14ac:dyDescent="0.2">
      <c r="A7" s="6" t="s">
        <v>171</v>
      </c>
      <c r="B7" s="7"/>
      <c r="C7" s="13"/>
    </row>
    <row r="8" spans="1:3" s="12" customFormat="1" ht="12.75" x14ac:dyDescent="0.2">
      <c r="C8" s="13"/>
    </row>
    <row r="9" spans="1:3" s="12" customFormat="1" x14ac:dyDescent="0.2">
      <c r="A9" s="6" t="s">
        <v>172</v>
      </c>
      <c r="B9" s="7"/>
      <c r="C9" s="13"/>
    </row>
    <row r="10" spans="1:3" s="12" customFormat="1" ht="12.75" x14ac:dyDescent="0.2">
      <c r="C10" s="13"/>
    </row>
    <row r="11" spans="1:3" s="12" customFormat="1" ht="29.65" customHeight="1" x14ac:dyDescent="0.2">
      <c r="A11" s="6" t="s">
        <v>173</v>
      </c>
      <c r="B11" s="7">
        <f>B13+B12+B18+B21+B26+B27+B28</f>
        <v>1200</v>
      </c>
      <c r="C11" s="13" t="s">
        <v>297</v>
      </c>
    </row>
    <row r="12" spans="1:3" s="12" customFormat="1" x14ac:dyDescent="0.25">
      <c r="A12" s="184" t="s">
        <v>295</v>
      </c>
      <c r="B12" s="185">
        <v>1200</v>
      </c>
      <c r="C12" s="13"/>
    </row>
    <row r="13" spans="1:3" s="12" customFormat="1" x14ac:dyDescent="0.2">
      <c r="A13" s="2" t="s">
        <v>293</v>
      </c>
      <c r="B13" s="182">
        <f>B14*B15*B16*B17</f>
        <v>0</v>
      </c>
      <c r="C13" s="13"/>
    </row>
    <row r="14" spans="1:3" s="12" customFormat="1" ht="12.75" x14ac:dyDescent="0.2">
      <c r="A14" s="183" t="s">
        <v>174</v>
      </c>
      <c r="B14" s="110"/>
      <c r="C14" s="13"/>
    </row>
    <row r="15" spans="1:3" s="12" customFormat="1" ht="12.75" x14ac:dyDescent="0.2">
      <c r="A15" s="183" t="s">
        <v>272</v>
      </c>
      <c r="B15" s="139">
        <f>Signalétique!B10</f>
        <v>8</v>
      </c>
      <c r="C15" s="13"/>
    </row>
    <row r="16" spans="1:3" s="12" customFormat="1" ht="25.5" x14ac:dyDescent="0.2">
      <c r="A16" s="183" t="s">
        <v>290</v>
      </c>
      <c r="B16" s="139">
        <f>4*45</f>
        <v>180</v>
      </c>
      <c r="C16" s="13" t="s">
        <v>291</v>
      </c>
    </row>
    <row r="17" spans="1:3" s="12" customFormat="1" ht="12.75" x14ac:dyDescent="0.2">
      <c r="A17" s="183" t="s">
        <v>292</v>
      </c>
      <c r="B17" s="181"/>
      <c r="C17" s="13"/>
    </row>
    <row r="18" spans="1:3" s="12" customFormat="1" x14ac:dyDescent="0.25">
      <c r="A18" s="80" t="s">
        <v>294</v>
      </c>
      <c r="B18" s="186">
        <f>B19*B20</f>
        <v>0</v>
      </c>
      <c r="C18" s="13"/>
    </row>
    <row r="19" spans="1:3" s="12" customFormat="1" ht="12.75" x14ac:dyDescent="0.2">
      <c r="A19" s="183" t="s">
        <v>175</v>
      </c>
      <c r="B19" s="110"/>
      <c r="C19" s="13"/>
    </row>
    <row r="20" spans="1:3" s="12" customFormat="1" ht="12.75" x14ac:dyDescent="0.2">
      <c r="A20" s="183" t="s">
        <v>272</v>
      </c>
      <c r="B20" s="139">
        <f>Signalétique!B10</f>
        <v>8</v>
      </c>
      <c r="C20" s="13"/>
    </row>
    <row r="21" spans="1:3" s="12" customFormat="1" x14ac:dyDescent="0.25">
      <c r="A21" s="80" t="s">
        <v>296</v>
      </c>
      <c r="B21" s="186">
        <f>B22*B23*B24*B25</f>
        <v>0</v>
      </c>
      <c r="C21" s="13"/>
    </row>
    <row r="22" spans="1:3" s="12" customFormat="1" ht="12.75" x14ac:dyDescent="0.2">
      <c r="A22" s="183" t="s">
        <v>176</v>
      </c>
      <c r="B22" s="110"/>
      <c r="C22" s="13"/>
    </row>
    <row r="23" spans="1:3" s="12" customFormat="1" ht="12.75" x14ac:dyDescent="0.2">
      <c r="A23" s="183" t="s">
        <v>272</v>
      </c>
      <c r="B23" s="139">
        <f>Signalétique!B10</f>
        <v>8</v>
      </c>
      <c r="C23" s="13"/>
    </row>
    <row r="24" spans="1:3" s="12" customFormat="1" ht="25.5" x14ac:dyDescent="0.2">
      <c r="A24" s="183" t="s">
        <v>290</v>
      </c>
      <c r="B24" s="139">
        <f>4*45</f>
        <v>180</v>
      </c>
      <c r="C24" s="13" t="s">
        <v>291</v>
      </c>
    </row>
    <row r="25" spans="1:3" s="12" customFormat="1" ht="12.75" x14ac:dyDescent="0.2">
      <c r="A25" s="183" t="s">
        <v>177</v>
      </c>
      <c r="B25" s="180"/>
      <c r="C25" s="13"/>
    </row>
    <row r="26" spans="1:3" s="12" customFormat="1" x14ac:dyDescent="0.25">
      <c r="A26" s="80" t="s">
        <v>298</v>
      </c>
      <c r="B26" s="186"/>
      <c r="C26" s="13"/>
    </row>
    <row r="27" spans="1:3" s="12" customFormat="1" x14ac:dyDescent="0.25">
      <c r="A27" s="80" t="s">
        <v>298</v>
      </c>
      <c r="B27" s="110"/>
      <c r="C27" s="13"/>
    </row>
    <row r="28" spans="1:3" s="12" customFormat="1" x14ac:dyDescent="0.25">
      <c r="A28" s="80" t="s">
        <v>298</v>
      </c>
      <c r="B28" s="110"/>
      <c r="C28" s="13"/>
    </row>
    <row r="29" spans="1:3" s="12" customFormat="1" ht="12.75" x14ac:dyDescent="0.2">
      <c r="C29" s="13"/>
    </row>
    <row r="30" spans="1:3" s="12" customFormat="1" x14ac:dyDescent="0.2">
      <c r="A30" s="6" t="s">
        <v>278</v>
      </c>
      <c r="B30" s="7">
        <f>Emploi!U18</f>
        <v>0</v>
      </c>
      <c r="C30" s="13"/>
    </row>
    <row r="31" spans="1:3" s="12" customFormat="1" ht="12.75" x14ac:dyDescent="0.2">
      <c r="B31" s="141"/>
      <c r="C31" s="13"/>
    </row>
    <row r="32" spans="1:3" s="12" customFormat="1" x14ac:dyDescent="0.2">
      <c r="A32" s="6" t="s">
        <v>178</v>
      </c>
      <c r="B32" s="7"/>
      <c r="C32" s="13"/>
    </row>
    <row r="33" spans="1:3" s="12" customFormat="1" ht="12.75" x14ac:dyDescent="0.2">
      <c r="C33" s="13"/>
    </row>
    <row r="34" spans="1:3" s="12" customFormat="1" x14ac:dyDescent="0.2">
      <c r="A34" s="6" t="s">
        <v>178</v>
      </c>
      <c r="B34" s="7"/>
      <c r="C34" s="13"/>
    </row>
    <row r="35" spans="1:3" s="12" customFormat="1" ht="12.75" x14ac:dyDescent="0.2">
      <c r="C35" s="13"/>
    </row>
    <row r="36" spans="1:3" s="12" customFormat="1" x14ac:dyDescent="0.2">
      <c r="A36" s="9" t="s">
        <v>125</v>
      </c>
      <c r="B36" s="10">
        <f>B3+B5+B7+B9+B11+B30+B32+B34</f>
        <v>113604.70388023405</v>
      </c>
      <c r="C36" s="13"/>
    </row>
    <row r="37" spans="1:3" s="12" customFormat="1" ht="12.75" x14ac:dyDescent="0.2">
      <c r="C37" s="13"/>
    </row>
    <row r="38" spans="1:3" s="12" customFormat="1" ht="12.75" x14ac:dyDescent="0.2">
      <c r="C38" s="13"/>
    </row>
    <row r="39" spans="1:3" s="12" customFormat="1" ht="12.75" x14ac:dyDescent="0.2">
      <c r="C39" s="13"/>
    </row>
    <row r="40" spans="1:3" s="12" customFormat="1" ht="12.75" x14ac:dyDescent="0.2">
      <c r="C40" s="13"/>
    </row>
    <row r="41" spans="1:3" s="12" customFormat="1" ht="12.75" x14ac:dyDescent="0.2">
      <c r="C41" s="13"/>
    </row>
    <row r="42" spans="1:3" s="12" customFormat="1" ht="12.75" x14ac:dyDescent="0.2">
      <c r="C42" s="13"/>
    </row>
    <row r="43" spans="1:3" s="12" customFormat="1" ht="12.75" x14ac:dyDescent="0.2">
      <c r="C43" s="13"/>
    </row>
    <row r="44" spans="1:3" s="12" customFormat="1" ht="12.75" x14ac:dyDescent="0.2">
      <c r="C44" s="13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&amp;C&amp;"-,Gras"Plan financier co-accueil lieu tiers</oddHeader>
    <oddFooter>&amp;C&amp;A&amp;R&amp;P/&amp;N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G22"/>
  <sheetViews>
    <sheetView zoomScale="96" zoomScaleNormal="96" workbookViewId="0">
      <selection activeCell="F21" sqref="F21"/>
    </sheetView>
  </sheetViews>
  <sheetFormatPr baseColWidth="10" defaultColWidth="11.42578125" defaultRowHeight="15" x14ac:dyDescent="0.25"/>
  <cols>
    <col min="1" max="1" width="26" customWidth="1"/>
    <col min="2" max="2" width="12.42578125" bestFit="1" customWidth="1"/>
    <col min="3" max="3" width="6.5703125" customWidth="1"/>
    <col min="4" max="4" width="12.140625" customWidth="1"/>
    <col min="5" max="5" width="14.5703125" customWidth="1"/>
    <col min="6" max="6" width="12.7109375" customWidth="1"/>
    <col min="7" max="7" width="25.140625" customWidth="1"/>
    <col min="8" max="8" width="15.85546875" customWidth="1"/>
    <col min="9" max="9" width="21.140625" customWidth="1"/>
    <col min="11" max="11" width="9.28515625" customWidth="1"/>
  </cols>
  <sheetData>
    <row r="1" spans="1:7" ht="18.75" customHeight="1" x14ac:dyDescent="0.25">
      <c r="A1" s="202" t="s">
        <v>247</v>
      </c>
      <c r="B1" s="202"/>
      <c r="C1" s="202"/>
      <c r="D1" s="202"/>
      <c r="E1" s="202"/>
      <c r="F1" s="202"/>
      <c r="G1" s="202"/>
    </row>
    <row r="2" spans="1:7" ht="5.85" customHeight="1" x14ac:dyDescent="0.25"/>
    <row r="3" spans="1:7" ht="19.7" customHeight="1" x14ac:dyDescent="0.25">
      <c r="A3" s="111" t="s">
        <v>307</v>
      </c>
      <c r="B3" s="112">
        <f>F12</f>
        <v>103003.19565573166</v>
      </c>
    </row>
    <row r="4" spans="1:7" s="154" customFormat="1" ht="39" customHeight="1" x14ac:dyDescent="0.25">
      <c r="A4" s="146" t="s">
        <v>139</v>
      </c>
      <c r="B4" s="146" t="s">
        <v>143</v>
      </c>
      <c r="C4" s="146" t="s">
        <v>129</v>
      </c>
      <c r="D4" s="146" t="s">
        <v>252</v>
      </c>
      <c r="E4" s="146" t="s">
        <v>253</v>
      </c>
      <c r="F4" s="159" t="s">
        <v>251</v>
      </c>
      <c r="G4" s="222" t="s">
        <v>301</v>
      </c>
    </row>
    <row r="5" spans="1:7" x14ac:dyDescent="0.25">
      <c r="A5" s="121" t="str">
        <f>IF(Emploi!D12="ONE",Emploi!A12,"-")</f>
        <v>Accueil</v>
      </c>
      <c r="B5" s="121">
        <f>IF(Emploi!D12="ONE",Emploi!E12,"-")</f>
        <v>0</v>
      </c>
      <c r="C5" s="169">
        <f>IF(Emploi!D12="ONE",Emploi!G12,0)</f>
        <v>1</v>
      </c>
      <c r="D5" s="15">
        <f>IF(Emploi!D12="ONE",IF(A5=$A$10,VLOOKUP(B5,'Barèmes CP332 et subs ONE'!$A$7:$Y$47,6,FALSE),IF(A5=$A$11,VLOOKUP(B5,'Barèmes CP332 et subs ONE'!$A$7:$Y$47,11,FALSE),
IF(A5=#REF!,VLOOKUP(B5,'Barèmes CP332 et subs ONE'!$A$7:$Y$47,16,FALSE),0))),0)</f>
        <v>4031.7455639510413</v>
      </c>
      <c r="E5" s="15">
        <f>IF(C5&gt;0,D5*C5,0)</f>
        <v>4031.7455639510413</v>
      </c>
      <c r="F5" s="160">
        <f>E5*12</f>
        <v>48380.946767412497</v>
      </c>
      <c r="G5" s="222"/>
    </row>
    <row r="6" spans="1:7" x14ac:dyDescent="0.25">
      <c r="A6" s="121" t="str">
        <f>IF(Emploi!D13="ONE",Emploi!A13,"-")</f>
        <v>Accueil</v>
      </c>
      <c r="B6" s="121">
        <f>IF(Emploi!D13="ONE",Emploi!E13,"-")</f>
        <v>0</v>
      </c>
      <c r="C6" s="169">
        <f>IF(Emploi!D13="ONE",Emploi!G13,0)</f>
        <v>1</v>
      </c>
      <c r="D6" s="15">
        <f>IF(Emploi!D13="ONE",IF(A6=$A$10,VLOOKUP(B6,'Barèmes CP332 et subs ONE'!$A$7:$Y$47,6,FALSE),IF(A6=$A$11,VLOOKUP(B6,'Barèmes CP332 et subs ONE'!$A$7:$Y$47,11,FALSE),
IF(A6=#REF!,VLOOKUP(B6,'Barèmes CP332 et subs ONE'!$A$7:$Y$47,16,FALSE),0))),0)</f>
        <v>4031.7455639510413</v>
      </c>
      <c r="E6" s="15">
        <f t="shared" ref="E6:E11" si="0">IF(C6&gt;0,D6*C6,0)</f>
        <v>4031.7455639510413</v>
      </c>
      <c r="F6" s="160">
        <f>E6*12</f>
        <v>48380.946767412497</v>
      </c>
      <c r="G6" s="222"/>
    </row>
    <row r="7" spans="1:7" x14ac:dyDescent="0.25">
      <c r="A7" s="121" t="str">
        <f>IF(Emploi!D14="ONE",Emploi!A14,"-")</f>
        <v>-</v>
      </c>
      <c r="B7" s="121" t="str">
        <f>IF(Emploi!D14="ONE",Emploi!E14,"-")</f>
        <v>-</v>
      </c>
      <c r="C7" s="169">
        <f>IF(Emploi!D14="ONE",Emploi!G14,0)</f>
        <v>0</v>
      </c>
      <c r="D7" s="15">
        <f>IF(Emploi!D14="ONE",IF(A7=$A$10,VLOOKUP(B7,'Barèmes CP332 et subs ONE'!$A$7:$Y$47,6,FALSE),IF(A7=$A$11,VLOOKUP(B7,'Barèmes CP332 et subs ONE'!$A$7:$Y$47,11,FALSE),
IF(A7=#REF!,VLOOKUP(B7,'Barèmes CP332 et subs ONE'!$A$7:$Y$47,16,FALSE),0))),0)</f>
        <v>0</v>
      </c>
      <c r="E7" s="15">
        <f t="shared" si="0"/>
        <v>0</v>
      </c>
      <c r="F7" s="160">
        <f>E7*12</f>
        <v>0</v>
      </c>
      <c r="G7" s="222"/>
    </row>
    <row r="8" spans="1:7" x14ac:dyDescent="0.25">
      <c r="A8" s="121" t="str">
        <f>IF(Emploi!D15="ONE",Emploi!A15,"-")</f>
        <v>Encadrement</v>
      </c>
      <c r="B8" s="121">
        <f>IF(Emploi!D15="ONE",Emploi!E15,"-")</f>
        <v>0</v>
      </c>
      <c r="C8" s="169">
        <f>IF(Emploi!D15="ONE",Emploi!G15,0)</f>
        <v>0.1111111111111111</v>
      </c>
      <c r="D8" s="15">
        <f>IF(Emploi!D15="ONE",IF(A8=$A$10,VLOOKUP(B8,'Barèmes CP332 et subs ONE'!$A$7:$Y$47,6,FALSE),IF(A8=$A$11,VLOOKUP(B8,'Barèmes CP332 et subs ONE'!$A$7:$Y$47,11,FALSE),
IF(A8=#REF!,VLOOKUP(B8,'Barèmes CP332 et subs ONE'!$A$7:$Y$47,16,FALSE),0))),0)</f>
        <v>4680.9765906800003</v>
      </c>
      <c r="E8" s="15">
        <f t="shared" ref="E8" si="1">IF(C8&gt;0,D8*C8,0)</f>
        <v>520.10851007555561</v>
      </c>
      <c r="F8" s="160">
        <f>E8*12</f>
        <v>6241.3021209066674</v>
      </c>
      <c r="G8" s="222"/>
    </row>
    <row r="9" spans="1:7" x14ac:dyDescent="0.25">
      <c r="A9" s="121"/>
      <c r="B9" s="121"/>
      <c r="C9" s="169"/>
      <c r="D9" s="15"/>
      <c r="E9" s="15"/>
      <c r="F9" s="161"/>
      <c r="G9" s="222"/>
    </row>
    <row r="10" spans="1:7" x14ac:dyDescent="0.25">
      <c r="A10" s="156" t="s">
        <v>128</v>
      </c>
      <c r="B10" s="121"/>
      <c r="C10" s="170">
        <f>SUMIF(A5:A9,A10,C5:C9)</f>
        <v>2</v>
      </c>
      <c r="D10" s="15">
        <f>IF(Emploi!D19="ONE",IF(A10=$A$10,VLOOKUP(B10,'Barèmes CP332 et subs ONE'!$A$7:$Y$47,6,FALSE),IF(A10=$A$11,VLOOKUP(B10,'Barèmes CP332 et subs ONE'!$A$7:$Y$47,11,FALSE),
IF(A10=#REF!,VLOOKUP(B10,'Barèmes CP332 et subs ONE'!$A$7:$Y$47,16,FALSE),0))),0)</f>
        <v>0</v>
      </c>
      <c r="E10" s="15">
        <f t="shared" si="0"/>
        <v>0</v>
      </c>
      <c r="F10" s="162">
        <f>SUMIF($A$5:$A$9,A10,$F$5:$F$9)</f>
        <v>96761.893534824994</v>
      </c>
      <c r="G10" s="222"/>
    </row>
    <row r="11" spans="1:7" x14ac:dyDescent="0.25">
      <c r="A11" s="155" t="s">
        <v>130</v>
      </c>
      <c r="B11" s="121"/>
      <c r="C11" s="169">
        <f>SUMIF(A5:A9,A11,C5:C9)</f>
        <v>0.1111111111111111</v>
      </c>
      <c r="D11" s="15">
        <f>IF(Emploi!D20="ONE",IF(A11=$A$10,VLOOKUP(B11,'Barèmes CP332 et subs ONE'!$A$7:$Y$47,6,FALSE),IF(A11=$A$11,VLOOKUP(B11,'Barèmes CP332 et subs ONE'!$A$7:$Y$47,11,FALSE),
IF(A11=#REF!,VLOOKUP(B11,'Barèmes CP332 et subs ONE'!$A$7:$Y$47,16,FALSE),0))),0)</f>
        <v>0</v>
      </c>
      <c r="E11" s="15">
        <f t="shared" si="0"/>
        <v>0</v>
      </c>
      <c r="F11" s="162">
        <f>SUMIF($A$5:$A$9,A11,$F$5:$F$9)</f>
        <v>6241.3021209066674</v>
      </c>
      <c r="G11" s="222"/>
    </row>
    <row r="12" spans="1:7" x14ac:dyDescent="0.25">
      <c r="A12" s="157" t="s">
        <v>125</v>
      </c>
      <c r="B12" s="161"/>
      <c r="C12" s="161"/>
      <c r="D12" s="161"/>
      <c r="E12" s="161"/>
      <c r="F12" s="158">
        <f>SUM(F10:F11)</f>
        <v>103003.19565573166</v>
      </c>
      <c r="G12" s="222"/>
    </row>
    <row r="13" spans="1:7" ht="21" customHeight="1" x14ac:dyDescent="0.25"/>
    <row r="14" spans="1:7" ht="20.100000000000001" customHeight="1" x14ac:dyDescent="0.25">
      <c r="A14" s="6" t="s">
        <v>298</v>
      </c>
      <c r="B14" s="7">
        <f>B15+B16</f>
        <v>97.47999999999999</v>
      </c>
    </row>
    <row r="15" spans="1:7" ht="14.45" customHeight="1" x14ac:dyDescent="0.25">
      <c r="A15" s="192" t="s">
        <v>179</v>
      </c>
      <c r="B15" s="193">
        <f>(SUMIF(Emploi!A12:A17,Emploi!B5,Emploi!G12:G17))*73.11*12</f>
        <v>97.47999999999999</v>
      </c>
      <c r="C15" s="219" t="s">
        <v>287</v>
      </c>
      <c r="D15" s="220"/>
      <c r="E15" s="220"/>
      <c r="F15" s="220"/>
      <c r="G15" s="221"/>
    </row>
    <row r="16" spans="1:7" ht="14.45" customHeight="1" x14ac:dyDescent="0.25">
      <c r="A16" s="192" t="s">
        <v>20</v>
      </c>
      <c r="B16" s="193">
        <f>B17*B18*B19*B20</f>
        <v>0</v>
      </c>
      <c r="C16" s="188"/>
      <c r="D16" s="188"/>
      <c r="E16" s="188"/>
      <c r="F16" s="188"/>
      <c r="G16" s="188"/>
    </row>
    <row r="17" spans="1:7" ht="14.45" customHeight="1" x14ac:dyDescent="0.25">
      <c r="A17" s="183" t="s">
        <v>303</v>
      </c>
      <c r="B17" s="189"/>
      <c r="C17" s="188"/>
      <c r="D17" s="188"/>
      <c r="E17" s="188"/>
      <c r="F17" s="188"/>
      <c r="G17" s="188"/>
    </row>
    <row r="18" spans="1:7" ht="14.45" customHeight="1" x14ac:dyDescent="0.25">
      <c r="A18" s="183" t="s">
        <v>304</v>
      </c>
      <c r="B18" s="121">
        <v>1.44</v>
      </c>
      <c r="C18" s="188"/>
      <c r="D18" s="188"/>
      <c r="E18" s="188"/>
      <c r="F18" s="188"/>
      <c r="G18" s="188"/>
    </row>
    <row r="19" spans="1:7" ht="14.45" customHeight="1" x14ac:dyDescent="0.25">
      <c r="A19" s="183" t="s">
        <v>305</v>
      </c>
      <c r="B19" s="121">
        <f>Signalétique!B10</f>
        <v>8</v>
      </c>
      <c r="C19" s="188"/>
      <c r="D19" s="188"/>
      <c r="E19" s="188"/>
      <c r="F19" s="188"/>
      <c r="G19" s="188"/>
    </row>
    <row r="20" spans="1:7" ht="14.45" customHeight="1" x14ac:dyDescent="0.25">
      <c r="A20" s="183" t="s">
        <v>306</v>
      </c>
      <c r="B20" s="121">
        <v>180</v>
      </c>
      <c r="C20" s="188"/>
      <c r="D20" s="188"/>
      <c r="E20" s="188"/>
      <c r="F20" s="188"/>
      <c r="G20" s="188"/>
    </row>
    <row r="21" spans="1:7" ht="14.45" customHeight="1" x14ac:dyDescent="0.25">
      <c r="A21" s="190"/>
      <c r="B21" s="191"/>
      <c r="C21" s="188"/>
      <c r="D21" s="188"/>
      <c r="E21" s="188"/>
      <c r="F21" s="188"/>
      <c r="G21" s="188"/>
    </row>
    <row r="22" spans="1:7" x14ac:dyDescent="0.25">
      <c r="A22" s="137" t="s">
        <v>125</v>
      </c>
      <c r="B22" s="136">
        <f>B14+B3</f>
        <v>103100.67565573165</v>
      </c>
    </row>
  </sheetData>
  <mergeCells count="3">
    <mergeCell ref="A1:G1"/>
    <mergeCell ref="C15:G15"/>
    <mergeCell ref="G4:G12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&amp;C&amp;"-,Gras"Plan financier co-accueil lieu tiers</oddHeader>
    <oddFooter>&amp;C&amp;A&amp;R&amp;P/&amp;N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  <pageSetUpPr fitToPage="1"/>
  </sheetPr>
  <dimension ref="A1:F45"/>
  <sheetViews>
    <sheetView topLeftCell="A26" zoomScaleNormal="100" workbookViewId="0">
      <selection activeCell="C40" sqref="C40"/>
    </sheetView>
  </sheetViews>
  <sheetFormatPr baseColWidth="10" defaultColWidth="11.42578125" defaultRowHeight="15" x14ac:dyDescent="0.25"/>
  <cols>
    <col min="1" max="1" width="34.85546875" bestFit="1" customWidth="1"/>
    <col min="2" max="4" width="14.85546875" customWidth="1"/>
  </cols>
  <sheetData>
    <row r="1" spans="1:4" ht="28.35" customHeight="1" x14ac:dyDescent="0.25">
      <c r="A1" s="194" t="s">
        <v>180</v>
      </c>
      <c r="B1" s="197"/>
      <c r="C1" s="197"/>
      <c r="D1" s="195"/>
    </row>
    <row r="2" spans="1:4" x14ac:dyDescent="0.25">
      <c r="A2" s="6" t="s">
        <v>181</v>
      </c>
      <c r="B2" s="20"/>
      <c r="C2" s="20"/>
      <c r="D2" s="21"/>
    </row>
    <row r="3" spans="1:4" s="1" customFormat="1" ht="20.45" customHeight="1" x14ac:dyDescent="0.25">
      <c r="A3" s="23" t="str">
        <f>Signalétique!A2</f>
        <v>Pouvoir Organisateur</v>
      </c>
      <c r="B3" s="224">
        <f>Signalétique!B2</f>
        <v>0</v>
      </c>
      <c r="C3" s="224"/>
      <c r="D3" s="224"/>
    </row>
    <row r="4" spans="1:4" s="1" customFormat="1" ht="20.45" customHeight="1" x14ac:dyDescent="0.25">
      <c r="A4" s="24" t="str">
        <f>Signalétique!A6</f>
        <v>Co-accueil</v>
      </c>
      <c r="B4" s="224">
        <f>Signalétique!B6</f>
        <v>0</v>
      </c>
      <c r="C4" s="224"/>
      <c r="D4" s="224"/>
    </row>
    <row r="5" spans="1:4" s="1" customFormat="1" ht="20.45" customHeight="1" x14ac:dyDescent="0.25">
      <c r="A5" s="24" t="str">
        <f>Signalétique!A7</f>
        <v xml:space="preserve">Adresse </v>
      </c>
      <c r="B5" s="224">
        <f>Signalétique!B7</f>
        <v>0</v>
      </c>
      <c r="C5" s="224"/>
      <c r="D5" s="224"/>
    </row>
    <row r="6" spans="1:4" s="1" customFormat="1" ht="20.45" customHeight="1" x14ac:dyDescent="0.25">
      <c r="A6" s="24" t="str">
        <f>Signalétique!A8</f>
        <v>CP</v>
      </c>
      <c r="B6" s="224">
        <f>Signalétique!B8</f>
        <v>0</v>
      </c>
      <c r="C6" s="224"/>
      <c r="D6" s="224"/>
    </row>
    <row r="7" spans="1:4" s="1" customFormat="1" ht="20.45" customHeight="1" x14ac:dyDescent="0.25">
      <c r="A7" s="24" t="str">
        <f>Signalétique!A9</f>
        <v>Localité</v>
      </c>
      <c r="B7" s="224">
        <f>Signalétique!B9</f>
        <v>0</v>
      </c>
      <c r="C7" s="224"/>
      <c r="D7" s="224"/>
    </row>
    <row r="8" spans="1:4" s="1" customFormat="1" ht="20.45" customHeight="1" x14ac:dyDescent="0.25">
      <c r="A8" s="24" t="str">
        <f>Signalétique!A10</f>
        <v xml:space="preserve">Capacité </v>
      </c>
      <c r="B8" s="224">
        <f>Signalétique!B10</f>
        <v>8</v>
      </c>
      <c r="C8" s="224"/>
      <c r="D8" s="224"/>
    </row>
    <row r="9" spans="1:4" x14ac:dyDescent="0.25">
      <c r="A9" s="12"/>
      <c r="B9" s="12"/>
      <c r="C9" s="12"/>
      <c r="D9" s="12"/>
    </row>
    <row r="10" spans="1:4" x14ac:dyDescent="0.25">
      <c r="A10" s="6" t="s">
        <v>15</v>
      </c>
      <c r="B10" s="20"/>
      <c r="C10" s="20"/>
      <c r="D10" s="85">
        <f>Investissements!B2</f>
        <v>0</v>
      </c>
    </row>
    <row r="12" spans="1:4" x14ac:dyDescent="0.25">
      <c r="A12" s="6" t="s">
        <v>182</v>
      </c>
      <c r="B12" s="20"/>
      <c r="C12" s="20"/>
      <c r="D12" s="34">
        <f>SUM(D14:D15)</f>
        <v>0</v>
      </c>
    </row>
    <row r="13" spans="1:4" ht="25.5" x14ac:dyDescent="0.25">
      <c r="A13" s="12"/>
      <c r="B13" s="25" t="s">
        <v>183</v>
      </c>
      <c r="C13" s="26" t="s">
        <v>184</v>
      </c>
      <c r="D13" s="26" t="s">
        <v>185</v>
      </c>
    </row>
    <row r="14" spans="1:4" x14ac:dyDescent="0.25">
      <c r="A14" s="12" t="s">
        <v>186</v>
      </c>
      <c r="B14" s="27">
        <f>Investissements!B33</f>
        <v>0</v>
      </c>
      <c r="C14" s="33">
        <v>0.2</v>
      </c>
      <c r="D14" s="27">
        <f>B14*C14</f>
        <v>0</v>
      </c>
    </row>
    <row r="15" spans="1:4" x14ac:dyDescent="0.25">
      <c r="A15" s="12" t="s">
        <v>187</v>
      </c>
      <c r="B15" s="27">
        <f>Investissements!B108</f>
        <v>0</v>
      </c>
      <c r="C15" s="33">
        <v>0.33</v>
      </c>
      <c r="D15" s="27">
        <f>B15*C15</f>
        <v>0</v>
      </c>
    </row>
    <row r="16" spans="1:4" x14ac:dyDescent="0.25">
      <c r="A16" s="12"/>
      <c r="B16" s="12" t="s">
        <v>246</v>
      </c>
      <c r="C16" s="12"/>
      <c r="D16" s="12"/>
    </row>
    <row r="17" spans="1:6" x14ac:dyDescent="0.25">
      <c r="A17" s="6" t="s">
        <v>188</v>
      </c>
      <c r="B17" s="20"/>
      <c r="C17" s="20"/>
      <c r="D17" s="34">
        <f>SUM(B18:B21)</f>
        <v>0</v>
      </c>
    </row>
    <row r="18" spans="1:6" x14ac:dyDescent="0.25">
      <c r="A18" s="12" t="s">
        <v>189</v>
      </c>
      <c r="B18" s="27">
        <f>Fonctionnement!B2</f>
        <v>0</v>
      </c>
      <c r="C18" s="12"/>
      <c r="D18" s="12"/>
    </row>
    <row r="19" spans="1:6" x14ac:dyDescent="0.25">
      <c r="A19" s="12" t="s">
        <v>190</v>
      </c>
      <c r="B19" s="27">
        <f>Fonctionnement!B9</f>
        <v>0</v>
      </c>
      <c r="C19" s="12"/>
      <c r="D19" s="12"/>
    </row>
    <row r="20" spans="1:6" x14ac:dyDescent="0.25">
      <c r="A20" s="12" t="s">
        <v>191</v>
      </c>
      <c r="B20" s="27">
        <f>Fonctionnement!B41</f>
        <v>0</v>
      </c>
      <c r="C20" s="12"/>
      <c r="D20" s="12"/>
    </row>
    <row r="21" spans="1:6" x14ac:dyDescent="0.25">
      <c r="A21" s="12" t="s">
        <v>121</v>
      </c>
      <c r="B21" s="27">
        <f>Fonctionnement!B48</f>
        <v>0</v>
      </c>
      <c r="C21" s="12"/>
      <c r="D21" s="12"/>
    </row>
    <row r="22" spans="1:6" x14ac:dyDescent="0.25">
      <c r="A22" s="12"/>
      <c r="B22" s="12"/>
      <c r="C22" s="12"/>
      <c r="D22" s="12"/>
    </row>
    <row r="23" spans="1:6" x14ac:dyDescent="0.25">
      <c r="A23" s="6" t="s">
        <v>192</v>
      </c>
      <c r="B23" s="20"/>
      <c r="C23" s="20"/>
      <c r="D23" s="34">
        <f>SUM(B24:B29)</f>
        <v>118276.33178632951</v>
      </c>
      <c r="F23" s="12"/>
    </row>
    <row r="24" spans="1:6" x14ac:dyDescent="0.25">
      <c r="A24" s="12" t="s">
        <v>128</v>
      </c>
      <c r="B24" s="18">
        <f>SUMIF(Emploi!$A$12:$A$17,Synthèse!A24,Emploi!$V$12:$V$17)</f>
        <v>93413.55891009733</v>
      </c>
      <c r="C24" s="223"/>
      <c r="D24" s="223"/>
      <c r="F24" s="12"/>
    </row>
    <row r="25" spans="1:6" x14ac:dyDescent="0.25">
      <c r="A25" s="12" t="s">
        <v>130</v>
      </c>
      <c r="B25" s="18">
        <f>SUMIF(Emploi!$A$12:$A$17,Synthèse!A25,Emploi!$V$12:$V$17)</f>
        <v>6071.05688205776</v>
      </c>
      <c r="C25" s="12"/>
      <c r="D25" s="12"/>
    </row>
    <row r="26" spans="1:6" x14ac:dyDescent="0.25">
      <c r="A26" s="12" t="s">
        <v>132</v>
      </c>
      <c r="B26" s="18">
        <f>SUMIF(Emploi!$A$12:$A$17,Synthèse!A26,Emploi!$V$12:$V$17)</f>
        <v>0</v>
      </c>
      <c r="C26" s="12"/>
      <c r="D26" s="12"/>
      <c r="F26" s="12"/>
    </row>
    <row r="27" spans="1:6" x14ac:dyDescent="0.25">
      <c r="A27" s="12" t="s">
        <v>133</v>
      </c>
      <c r="B27" s="18">
        <f>SUMIF(Emploi!$A$12:$A$17,Synthèse!A27,Emploi!$V$12:$V$17)</f>
        <v>6980.6127481850554</v>
      </c>
      <c r="C27" s="12"/>
      <c r="D27" s="12"/>
      <c r="F27" s="12"/>
    </row>
    <row r="28" spans="1:6" x14ac:dyDescent="0.25">
      <c r="A28" s="12" t="s">
        <v>134</v>
      </c>
      <c r="B28" s="18">
        <f>SUMIF(Emploi!$A$12:$A$17,Synthèse!A28,Emploi!$V$12:$V$17)</f>
        <v>0</v>
      </c>
      <c r="C28" s="12"/>
      <c r="D28" s="12"/>
    </row>
    <row r="29" spans="1:6" x14ac:dyDescent="0.25">
      <c r="A29" s="105" t="s">
        <v>193</v>
      </c>
      <c r="B29" s="106">
        <f>Emploi!W18</f>
        <v>11811.103245989365</v>
      </c>
      <c r="C29" s="12"/>
      <c r="D29" s="12"/>
    </row>
    <row r="30" spans="1:6" x14ac:dyDescent="0.25">
      <c r="A30" s="12"/>
      <c r="B30" s="27"/>
      <c r="C30" s="12"/>
      <c r="D30" s="12"/>
    </row>
    <row r="31" spans="1:6" x14ac:dyDescent="0.25">
      <c r="A31" s="9" t="s">
        <v>194</v>
      </c>
      <c r="B31" s="22"/>
      <c r="C31" s="22"/>
      <c r="D31" s="35">
        <f>D10+D12+D17+D23</f>
        <v>118276.33178632951</v>
      </c>
      <c r="E31" s="12" t="s">
        <v>254</v>
      </c>
    </row>
    <row r="32" spans="1:6" s="12" customFormat="1" x14ac:dyDescent="0.25">
      <c r="D32" s="35">
        <f>D10+D12+D17+D23-B29</f>
        <v>106465.22854034015</v>
      </c>
      <c r="E32" s="12" t="s">
        <v>255</v>
      </c>
    </row>
    <row r="33" spans="1:5" s="12" customFormat="1" ht="12.75" x14ac:dyDescent="0.2"/>
    <row r="34" spans="1:5" x14ac:dyDescent="0.25">
      <c r="A34" s="6" t="s">
        <v>195</v>
      </c>
      <c r="B34" s="20"/>
      <c r="C34" s="20"/>
      <c r="D34" s="34">
        <f>SUM(B35:B40)</f>
        <v>113604.70388023405</v>
      </c>
    </row>
    <row r="35" spans="1:5" s="12" customFormat="1" ht="12.75" x14ac:dyDescent="0.2">
      <c r="A35" s="12" t="s">
        <v>275</v>
      </c>
      <c r="B35" s="27">
        <f>Recettes!B3</f>
        <v>9304.0282245024027</v>
      </c>
      <c r="C35" s="40" t="s">
        <v>196</v>
      </c>
    </row>
    <row r="36" spans="1:5" s="12" customFormat="1" ht="12.75" x14ac:dyDescent="0.2">
      <c r="A36" s="12" t="s">
        <v>170</v>
      </c>
      <c r="B36" s="27">
        <f>'Financement ONE'!B22</f>
        <v>103100.67565573165</v>
      </c>
      <c r="C36" s="40" t="s">
        <v>288</v>
      </c>
    </row>
    <row r="37" spans="1:5" s="12" customFormat="1" ht="12.75" x14ac:dyDescent="0.2">
      <c r="A37" s="12" t="s">
        <v>197</v>
      </c>
      <c r="B37" s="27">
        <f>Emploi!U18</f>
        <v>0</v>
      </c>
      <c r="C37" s="40"/>
    </row>
    <row r="38" spans="1:5" s="12" customFormat="1" ht="12.75" x14ac:dyDescent="0.2">
      <c r="A38" s="12" t="s">
        <v>172</v>
      </c>
      <c r="B38" s="27">
        <f>Recettes!B9</f>
        <v>0</v>
      </c>
      <c r="C38" s="40"/>
    </row>
    <row r="39" spans="1:5" s="12" customFormat="1" ht="12.75" x14ac:dyDescent="0.2">
      <c r="A39" s="12" t="s">
        <v>173</v>
      </c>
      <c r="B39" s="27">
        <f>Recettes!B11</f>
        <v>1200</v>
      </c>
      <c r="C39" s="40"/>
    </row>
    <row r="40" spans="1:5" s="12" customFormat="1" ht="12.75" x14ac:dyDescent="0.2">
      <c r="A40" s="12" t="s">
        <v>198</v>
      </c>
      <c r="B40" s="27">
        <f>+Recettes!B32+Recettes!B34</f>
        <v>0</v>
      </c>
      <c r="C40" s="40"/>
    </row>
    <row r="41" spans="1:5" s="12" customFormat="1" ht="12.75" x14ac:dyDescent="0.2"/>
    <row r="42" spans="1:5" x14ac:dyDescent="0.25">
      <c r="A42" s="9" t="s">
        <v>199</v>
      </c>
      <c r="B42" s="22"/>
      <c r="C42" s="22"/>
      <c r="D42" s="35">
        <f>D34</f>
        <v>113604.70388023405</v>
      </c>
    </row>
    <row r="43" spans="1:5" s="12" customFormat="1" ht="12.75" x14ac:dyDescent="0.2"/>
    <row r="44" spans="1:5" s="12" customFormat="1" x14ac:dyDescent="0.25">
      <c r="A44" s="87" t="s">
        <v>256</v>
      </c>
      <c r="B44" s="88"/>
      <c r="C44" s="88"/>
      <c r="D44" s="89">
        <f>D42-D31</f>
        <v>-4671.6279060954548</v>
      </c>
      <c r="E44" s="40" t="s">
        <v>258</v>
      </c>
    </row>
    <row r="45" spans="1:5" s="12" customFormat="1" x14ac:dyDescent="0.25">
      <c r="A45" s="87" t="s">
        <v>257</v>
      </c>
      <c r="B45" s="88"/>
      <c r="C45" s="88"/>
      <c r="D45" s="89">
        <f>D42-D31+B29</f>
        <v>7139.4753398939101</v>
      </c>
    </row>
  </sheetData>
  <mergeCells count="8">
    <mergeCell ref="C24:D24"/>
    <mergeCell ref="A1:D1"/>
    <mergeCell ref="B3:D3"/>
    <mergeCell ref="B4:D4"/>
    <mergeCell ref="B7:D7"/>
    <mergeCell ref="B6:D6"/>
    <mergeCell ref="B8:D8"/>
    <mergeCell ref="B5:D5"/>
  </mergeCells>
  <pageMargins left="0.70866141732283472" right="0.70866141732283472" top="0.74803149606299213" bottom="0.74803149606299213" header="0.31496062992125984" footer="0.31496062992125984"/>
  <pageSetup paperSize="9" scale="96" fitToHeight="0" orientation="portrait" r:id="rId1"/>
  <headerFooter>
    <oddHeader>&amp;C&amp;"-,Gras"Plan financier co-accueil lieu tiers</oddHeader>
    <oddFooter>&amp;C&amp;A&amp;R&amp;P/&amp;N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</sheetPr>
  <dimension ref="A3:A8"/>
  <sheetViews>
    <sheetView workbookViewId="0">
      <selection activeCell="K13" sqref="K13"/>
    </sheetView>
  </sheetViews>
  <sheetFormatPr baseColWidth="10" defaultColWidth="11.42578125" defaultRowHeight="15" x14ac:dyDescent="0.25"/>
  <sheetData>
    <row r="3" spans="1:1" x14ac:dyDescent="0.25">
      <c r="A3" t="s">
        <v>163</v>
      </c>
    </row>
    <row r="4" spans="1:1" x14ac:dyDescent="0.25">
      <c r="A4" t="s">
        <v>165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164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A34734C6C4443B443F95ED63174ED" ma:contentTypeVersion="11" ma:contentTypeDescription="Crée un document." ma:contentTypeScope="" ma:versionID="99ff7905e024ec36ebe64b96e2132c43">
  <xsd:schema xmlns:xsd="http://www.w3.org/2001/XMLSchema" xmlns:xs="http://www.w3.org/2001/XMLSchema" xmlns:p="http://schemas.microsoft.com/office/2006/metadata/properties" xmlns:ns3="45a97d6e-63f2-4304-a912-1a3a13387af3" xmlns:ns4="89f413c1-a810-47f4-b555-c1e449e9519c" targetNamespace="http://schemas.microsoft.com/office/2006/metadata/properties" ma:root="true" ma:fieldsID="f2ee7821d1b78264cb27e1989c2a5f87" ns3:_="" ns4:_="">
    <xsd:import namespace="45a97d6e-63f2-4304-a912-1a3a13387af3"/>
    <xsd:import namespace="89f413c1-a810-47f4-b555-c1e449e951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97d6e-63f2-4304-a912-1a3a13387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413c1-a810-47f4-b555-c1e449e9519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CF9D6-316B-4F55-A9CE-0C03A1DA4320}">
  <ds:schemaRefs>
    <ds:schemaRef ds:uri="89f413c1-a810-47f4-b555-c1e449e9519c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45a97d6e-63f2-4304-a912-1a3a13387af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95AFE4-F1FA-4B9C-9E52-D3EA4E9131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C4241-E31E-43EC-855E-D3A043D947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a97d6e-63f2-4304-a912-1a3a13387af3"/>
    <ds:schemaRef ds:uri="89f413c1-a810-47f4-b555-c1e449e951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Mode d'emploi</vt:lpstr>
      <vt:lpstr>Signalétique</vt:lpstr>
      <vt:lpstr>Investissements</vt:lpstr>
      <vt:lpstr>Fonctionnement</vt:lpstr>
      <vt:lpstr>Emploi</vt:lpstr>
      <vt:lpstr>Recettes</vt:lpstr>
      <vt:lpstr>Financement ONE</vt:lpstr>
      <vt:lpstr>Synthèse</vt:lpstr>
      <vt:lpstr>Financements emploi</vt:lpstr>
      <vt:lpstr>Barèmes CP332 et subs ONE</vt:lpstr>
      <vt:lpstr>Normes encadrement</vt:lpstr>
      <vt:lpstr>PFP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Resp admin &amp; fin</dc:creator>
  <cp:keywords/>
  <dc:description/>
  <cp:lastModifiedBy>Marie Didriche</cp:lastModifiedBy>
  <cp:revision/>
  <cp:lastPrinted>2024-02-20T06:33:01Z</cp:lastPrinted>
  <dcterms:created xsi:type="dcterms:W3CDTF">2021-02-25T14:11:28Z</dcterms:created>
  <dcterms:modified xsi:type="dcterms:W3CDTF">2024-06-10T14:05:43Z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0x010100B01A34734C6C4443B443F95ED63174ED</vt:lpwstr>
  </property>
</Properties>
</file>