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d598d3f0899c0b79/Documents/Réforme-salariat et coaccueils/Interventions spécifiques Coaccueils/Coaccueil lieu tiers/Fichiers partagés/"/>
    </mc:Choice>
  </mc:AlternateContent>
  <xr:revisionPtr revIDLastSave="0" documentId="8_{2B6B5CF0-F836-40EA-B21C-FA0149CCCED8}" xr6:coauthVersionLast="47" xr6:coauthVersionMax="47" xr10:uidLastSave="{00000000-0000-0000-0000-000000000000}"/>
  <bookViews>
    <workbookView xWindow="-120" yWindow="-120" windowWidth="29040" windowHeight="15720" tabRatio="827" activeTab="1" xr2:uid="{00000000-000D-0000-FFFF-FFFF00000000}"/>
  </bookViews>
  <sheets>
    <sheet name="Mode d'emploi" sheetId="9" r:id="rId1"/>
    <sheet name="Signalétique" sheetId="1" r:id="rId2"/>
    <sheet name="Investissements" sheetId="2" r:id="rId3"/>
    <sheet name="Fonctionnement" sheetId="3" r:id="rId4"/>
    <sheet name="Emploi" sheetId="4" r:id="rId5"/>
    <sheet name="Recettes" sheetId="7" r:id="rId6"/>
    <sheet name="Financement emploi ONE" sheetId="5" r:id="rId7"/>
    <sheet name="Synthèse" sheetId="6" r:id="rId8"/>
    <sheet name="E3" sheetId="14" r:id="rId9"/>
    <sheet name="D2" sheetId="15" r:id="rId10"/>
    <sheet name="B1" sheetId="16" r:id="rId11"/>
    <sheet name="B2" sheetId="17" r:id="rId12"/>
    <sheet name="B3" sheetId="18" r:id="rId13"/>
    <sheet name="Financements emploi" sheetId="11" r:id="rId14"/>
    <sheet name="Normes encadrement" sheetId="8" r:id="rId15"/>
    <sheet name="PFP" sheetId="1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4" l="1"/>
  <c r="P12" i="4"/>
  <c r="O13" i="4"/>
  <c r="O14" i="4"/>
  <c r="O15" i="4"/>
  <c r="O16" i="4"/>
  <c r="O17" i="4"/>
  <c r="O12" i="4"/>
  <c r="N13" i="4"/>
  <c r="N14" i="4"/>
  <c r="N15" i="4"/>
  <c r="N16" i="4"/>
  <c r="N17" i="4"/>
  <c r="N12" i="4"/>
  <c r="L13" i="4"/>
  <c r="L14" i="4"/>
  <c r="L15" i="4"/>
  <c r="L16" i="4"/>
  <c r="L17" i="4"/>
  <c r="L12" i="4"/>
  <c r="F6" i="5"/>
  <c r="F7" i="5"/>
  <c r="F8" i="5"/>
  <c r="F5" i="5"/>
  <c r="G5" i="5" s="1"/>
  <c r="E6" i="5"/>
  <c r="E7" i="5"/>
  <c r="E8" i="5"/>
  <c r="E5" i="5"/>
  <c r="D6" i="5"/>
  <c r="D7" i="5"/>
  <c r="D8" i="5"/>
  <c r="D5" i="5"/>
  <c r="C5" i="5"/>
  <c r="H12" i="4"/>
  <c r="H13" i="4"/>
  <c r="J13" i="4" s="1"/>
  <c r="K13" i="4" s="1"/>
  <c r="H14" i="4"/>
  <c r="H15" i="4"/>
  <c r="H16" i="4"/>
  <c r="J16" i="4" s="1"/>
  <c r="K16" i="4" s="1"/>
  <c r="H17" i="4"/>
  <c r="J17" i="4" s="1"/>
  <c r="K17" i="4" s="1"/>
  <c r="J14" i="4"/>
  <c r="K14" i="4"/>
  <c r="A34" i="16"/>
  <c r="A29" i="16"/>
  <c r="A30" i="16" s="1"/>
  <c r="A31" i="16" s="1"/>
  <c r="A32" i="16" s="1"/>
  <c r="A33" i="16" s="1"/>
  <c r="A34" i="15"/>
  <c r="A31" i="15"/>
  <c r="A32" i="15"/>
  <c r="A33" i="15"/>
  <c r="A29" i="15"/>
  <c r="A30" i="15"/>
  <c r="T13" i="4"/>
  <c r="T14" i="4"/>
  <c r="T15" i="4"/>
  <c r="T16" i="4"/>
  <c r="T17" i="4"/>
  <c r="T12" i="4"/>
  <c r="B11" i="7"/>
  <c r="I3" i="15"/>
  <c r="H3" i="15"/>
  <c r="E28" i="18" l="1"/>
  <c r="C28" i="18"/>
  <c r="F27" i="18"/>
  <c r="E27" i="18"/>
  <c r="C27" i="18"/>
  <c r="H27" i="18" s="1"/>
  <c r="F26" i="18"/>
  <c r="E26" i="18"/>
  <c r="C26" i="18"/>
  <c r="H26" i="18" s="1"/>
  <c r="F25" i="18"/>
  <c r="E25" i="18"/>
  <c r="C25" i="18"/>
  <c r="H25" i="18" s="1"/>
  <c r="F24" i="18"/>
  <c r="E24" i="18"/>
  <c r="C24" i="18"/>
  <c r="H24" i="18" s="1"/>
  <c r="F23" i="18"/>
  <c r="E23" i="18"/>
  <c r="C23" i="18"/>
  <c r="H23" i="18" s="1"/>
  <c r="F22" i="18"/>
  <c r="E22" i="18"/>
  <c r="C22" i="18"/>
  <c r="H22" i="18" s="1"/>
  <c r="F21" i="18"/>
  <c r="E21" i="18"/>
  <c r="C21" i="18"/>
  <c r="H21" i="18" s="1"/>
  <c r="F20" i="18"/>
  <c r="E20" i="18"/>
  <c r="C20" i="18"/>
  <c r="F19" i="18"/>
  <c r="E19" i="18"/>
  <c r="C19" i="18"/>
  <c r="F18" i="18"/>
  <c r="E18" i="18"/>
  <c r="C18" i="18"/>
  <c r="H18" i="18" s="1"/>
  <c r="F17" i="18"/>
  <c r="E17" i="18"/>
  <c r="C17" i="18"/>
  <c r="H17" i="18" s="1"/>
  <c r="F16" i="18"/>
  <c r="E16" i="18"/>
  <c r="C16" i="18"/>
  <c r="F15" i="18"/>
  <c r="E15" i="18"/>
  <c r="C15" i="18"/>
  <c r="F14" i="18"/>
  <c r="E14" i="18"/>
  <c r="C14" i="18"/>
  <c r="H14" i="18" s="1"/>
  <c r="F13" i="18"/>
  <c r="E13" i="18"/>
  <c r="C13" i="18"/>
  <c r="H13" i="18" s="1"/>
  <c r="F12" i="18"/>
  <c r="E12" i="18"/>
  <c r="C12" i="18"/>
  <c r="F11" i="18"/>
  <c r="E11" i="18"/>
  <c r="C11" i="18"/>
  <c r="F10" i="18"/>
  <c r="E10" i="18"/>
  <c r="C10" i="18"/>
  <c r="H10" i="18" s="1"/>
  <c r="F9" i="18"/>
  <c r="E9" i="18"/>
  <c r="C9" i="18"/>
  <c r="H9" i="18" s="1"/>
  <c r="F8" i="18"/>
  <c r="E8" i="18"/>
  <c r="C8" i="18"/>
  <c r="F7" i="18"/>
  <c r="E7" i="18"/>
  <c r="C7" i="18"/>
  <c r="F6" i="18"/>
  <c r="E6" i="18"/>
  <c r="C6" i="18"/>
  <c r="H6" i="18" s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F5" i="18"/>
  <c r="E5" i="18"/>
  <c r="C5" i="18"/>
  <c r="H5" i="18" s="1"/>
  <c r="F4" i="18"/>
  <c r="E4" i="18"/>
  <c r="C4" i="18"/>
  <c r="A4" i="18"/>
  <c r="A5" i="18" s="1"/>
  <c r="F3" i="18"/>
  <c r="E3" i="18"/>
  <c r="C3" i="18"/>
  <c r="H28" i="17"/>
  <c r="F28" i="17"/>
  <c r="E28" i="17"/>
  <c r="D28" i="17"/>
  <c r="C28" i="17"/>
  <c r="G28" i="17" s="1"/>
  <c r="F27" i="17"/>
  <c r="E27" i="17"/>
  <c r="H27" i="17" s="1"/>
  <c r="D27" i="17"/>
  <c r="C27" i="17"/>
  <c r="H26" i="17"/>
  <c r="F26" i="17"/>
  <c r="E26" i="17"/>
  <c r="D26" i="17"/>
  <c r="C26" i="17"/>
  <c r="G26" i="17" s="1"/>
  <c r="I26" i="17" s="1"/>
  <c r="F25" i="17"/>
  <c r="E25" i="17"/>
  <c r="H25" i="17" s="1"/>
  <c r="D25" i="17"/>
  <c r="C25" i="17"/>
  <c r="H24" i="17"/>
  <c r="F24" i="17"/>
  <c r="E24" i="17"/>
  <c r="D24" i="17"/>
  <c r="C24" i="17"/>
  <c r="G24" i="17" s="1"/>
  <c r="I24" i="17" s="1"/>
  <c r="F23" i="17"/>
  <c r="E23" i="17"/>
  <c r="H23" i="17" s="1"/>
  <c r="D23" i="17"/>
  <c r="C23" i="17"/>
  <c r="H22" i="17"/>
  <c r="F22" i="17"/>
  <c r="E22" i="17"/>
  <c r="D22" i="17"/>
  <c r="C22" i="17"/>
  <c r="G22" i="17" s="1"/>
  <c r="I22" i="17" s="1"/>
  <c r="F21" i="17"/>
  <c r="E21" i="17"/>
  <c r="H21" i="17" s="1"/>
  <c r="D21" i="17"/>
  <c r="C21" i="17"/>
  <c r="H20" i="17"/>
  <c r="F20" i="17"/>
  <c r="E20" i="17"/>
  <c r="D20" i="17"/>
  <c r="C20" i="17"/>
  <c r="G20" i="17" s="1"/>
  <c r="I20" i="17" s="1"/>
  <c r="F19" i="17"/>
  <c r="E19" i="17"/>
  <c r="H19" i="17" s="1"/>
  <c r="D19" i="17"/>
  <c r="C19" i="17"/>
  <c r="H18" i="17"/>
  <c r="F18" i="17"/>
  <c r="E18" i="17"/>
  <c r="D18" i="17"/>
  <c r="C18" i="17"/>
  <c r="G18" i="17" s="1"/>
  <c r="I18" i="17" s="1"/>
  <c r="F17" i="17"/>
  <c r="E17" i="17"/>
  <c r="H17" i="17" s="1"/>
  <c r="D17" i="17"/>
  <c r="C17" i="17"/>
  <c r="H16" i="17"/>
  <c r="F16" i="17"/>
  <c r="E16" i="17"/>
  <c r="D16" i="17"/>
  <c r="C16" i="17"/>
  <c r="G16" i="17" s="1"/>
  <c r="I16" i="17" s="1"/>
  <c r="F15" i="17"/>
  <c r="E15" i="17"/>
  <c r="H15" i="17" s="1"/>
  <c r="D15" i="17"/>
  <c r="C15" i="17"/>
  <c r="H14" i="17"/>
  <c r="F14" i="17"/>
  <c r="E14" i="17"/>
  <c r="D14" i="17"/>
  <c r="C14" i="17"/>
  <c r="G14" i="17" s="1"/>
  <c r="I14" i="17" s="1"/>
  <c r="F13" i="17"/>
  <c r="E13" i="17"/>
  <c r="H13" i="17" s="1"/>
  <c r="D13" i="17"/>
  <c r="C13" i="17"/>
  <c r="H12" i="17"/>
  <c r="F12" i="17"/>
  <c r="E12" i="17"/>
  <c r="D12" i="17"/>
  <c r="C12" i="17"/>
  <c r="G12" i="17" s="1"/>
  <c r="I12" i="17" s="1"/>
  <c r="F11" i="17"/>
  <c r="E11" i="17"/>
  <c r="H11" i="17" s="1"/>
  <c r="D11" i="17"/>
  <c r="C11" i="17"/>
  <c r="H10" i="17"/>
  <c r="F10" i="17"/>
  <c r="E10" i="17"/>
  <c r="D10" i="17"/>
  <c r="C10" i="17"/>
  <c r="G10" i="17" s="1"/>
  <c r="I10" i="17" s="1"/>
  <c r="F9" i="17"/>
  <c r="E9" i="17"/>
  <c r="H9" i="17" s="1"/>
  <c r="D9" i="17"/>
  <c r="C9" i="17"/>
  <c r="H8" i="17"/>
  <c r="F8" i="17"/>
  <c r="E8" i="17"/>
  <c r="D8" i="17"/>
  <c r="C8" i="17"/>
  <c r="G8" i="17" s="1"/>
  <c r="I8" i="17" s="1"/>
  <c r="F7" i="17"/>
  <c r="E7" i="17"/>
  <c r="H7" i="17" s="1"/>
  <c r="D7" i="17"/>
  <c r="C7" i="17"/>
  <c r="H6" i="17"/>
  <c r="F6" i="17"/>
  <c r="E6" i="17"/>
  <c r="D6" i="17"/>
  <c r="C6" i="17"/>
  <c r="G6" i="17" s="1"/>
  <c r="I6" i="17" s="1"/>
  <c r="F5" i="17"/>
  <c r="E5" i="17"/>
  <c r="H5" i="17" s="1"/>
  <c r="D5" i="17"/>
  <c r="C5" i="17"/>
  <c r="H4" i="17"/>
  <c r="F4" i="17"/>
  <c r="E4" i="17"/>
  <c r="D4" i="17"/>
  <c r="C4" i="17"/>
  <c r="G4" i="17" s="1"/>
  <c r="I4" i="17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H3" i="17"/>
  <c r="F3" i="17"/>
  <c r="E3" i="17"/>
  <c r="D3" i="17"/>
  <c r="C3" i="17"/>
  <c r="G3" i="17" s="1"/>
  <c r="I3" i="17" s="1"/>
  <c r="C28" i="16"/>
  <c r="C27" i="16"/>
  <c r="E26" i="16"/>
  <c r="D26" i="16"/>
  <c r="C26" i="16"/>
  <c r="F26" i="16" s="1"/>
  <c r="C25" i="16"/>
  <c r="F24" i="16"/>
  <c r="C24" i="16"/>
  <c r="F23" i="16"/>
  <c r="C23" i="16"/>
  <c r="F22" i="16"/>
  <c r="C22" i="16"/>
  <c r="F21" i="16"/>
  <c r="C21" i="16"/>
  <c r="F20" i="16"/>
  <c r="C20" i="16"/>
  <c r="F19" i="16"/>
  <c r="C19" i="16"/>
  <c r="F18" i="16"/>
  <c r="C18" i="16"/>
  <c r="F17" i="16"/>
  <c r="C17" i="16"/>
  <c r="F16" i="16"/>
  <c r="C16" i="16"/>
  <c r="F15" i="16"/>
  <c r="C15" i="16"/>
  <c r="F14" i="16"/>
  <c r="C14" i="16"/>
  <c r="F13" i="16"/>
  <c r="C13" i="16"/>
  <c r="F12" i="16"/>
  <c r="C12" i="16"/>
  <c r="F11" i="16"/>
  <c r="C11" i="16"/>
  <c r="F10" i="16"/>
  <c r="C10" i="16"/>
  <c r="F9" i="16"/>
  <c r="C9" i="16"/>
  <c r="F8" i="16"/>
  <c r="C8" i="16"/>
  <c r="F7" i="16"/>
  <c r="C7" i="16"/>
  <c r="F6" i="16"/>
  <c r="C6" i="16"/>
  <c r="F5" i="16"/>
  <c r="C5" i="16"/>
  <c r="F4" i="16"/>
  <c r="C4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F3" i="16"/>
  <c r="C3" i="16"/>
  <c r="F28" i="15"/>
  <c r="C28" i="15"/>
  <c r="H27" i="15"/>
  <c r="C27" i="15"/>
  <c r="H26" i="15"/>
  <c r="E26" i="15"/>
  <c r="D26" i="15"/>
  <c r="C26" i="15"/>
  <c r="G26" i="15" s="1"/>
  <c r="H25" i="15"/>
  <c r="F25" i="15"/>
  <c r="E25" i="15"/>
  <c r="I25" i="15" s="1"/>
  <c r="D25" i="15"/>
  <c r="C25" i="15"/>
  <c r="C24" i="15"/>
  <c r="F23" i="15"/>
  <c r="D23" i="15"/>
  <c r="C23" i="15"/>
  <c r="H22" i="15"/>
  <c r="C22" i="15"/>
  <c r="H21" i="15"/>
  <c r="F21" i="15"/>
  <c r="E21" i="15"/>
  <c r="I21" i="15" s="1"/>
  <c r="D21" i="15"/>
  <c r="C21" i="15"/>
  <c r="G21" i="15" s="1"/>
  <c r="I20" i="15"/>
  <c r="F20" i="15"/>
  <c r="E20" i="15"/>
  <c r="C20" i="15"/>
  <c r="H20" i="15" s="1"/>
  <c r="F19" i="15"/>
  <c r="C19" i="15"/>
  <c r="C18" i="15"/>
  <c r="H17" i="15"/>
  <c r="F17" i="15"/>
  <c r="E17" i="15"/>
  <c r="I17" i="15" s="1"/>
  <c r="D17" i="15"/>
  <c r="C17" i="15"/>
  <c r="G17" i="15" s="1"/>
  <c r="F16" i="15"/>
  <c r="E16" i="15"/>
  <c r="I16" i="15" s="1"/>
  <c r="C16" i="15"/>
  <c r="H16" i="15" s="1"/>
  <c r="F15" i="15"/>
  <c r="C15" i="15"/>
  <c r="C14" i="15"/>
  <c r="H13" i="15"/>
  <c r="F13" i="15"/>
  <c r="E13" i="15"/>
  <c r="D13" i="15"/>
  <c r="C13" i="15"/>
  <c r="G13" i="15" s="1"/>
  <c r="F12" i="15"/>
  <c r="E12" i="15"/>
  <c r="I12" i="15" s="1"/>
  <c r="C12" i="15"/>
  <c r="H12" i="15" s="1"/>
  <c r="F11" i="15"/>
  <c r="C11" i="15"/>
  <c r="C10" i="15"/>
  <c r="H9" i="15"/>
  <c r="F9" i="15"/>
  <c r="E9" i="15"/>
  <c r="D9" i="15"/>
  <c r="C9" i="15"/>
  <c r="G9" i="15" s="1"/>
  <c r="I8" i="15"/>
  <c r="F8" i="15"/>
  <c r="E8" i="15"/>
  <c r="C8" i="15"/>
  <c r="H8" i="15" s="1"/>
  <c r="F7" i="15"/>
  <c r="C7" i="15"/>
  <c r="C6" i="15"/>
  <c r="H5" i="15"/>
  <c r="F5" i="15"/>
  <c r="E5" i="15"/>
  <c r="I5" i="15" s="1"/>
  <c r="D5" i="15"/>
  <c r="C5" i="15"/>
  <c r="G5" i="15" s="1"/>
  <c r="I4" i="15"/>
  <c r="F4" i="15"/>
  <c r="E4" i="15"/>
  <c r="C4" i="15"/>
  <c r="H4" i="15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F3" i="15"/>
  <c r="C3" i="15"/>
  <c r="C28" i="14"/>
  <c r="F28" i="14" s="1"/>
  <c r="C27" i="14"/>
  <c r="F26" i="14"/>
  <c r="E26" i="14"/>
  <c r="D26" i="14"/>
  <c r="C26" i="14"/>
  <c r="F25" i="14"/>
  <c r="E25" i="14"/>
  <c r="I25" i="14" s="1"/>
  <c r="C25" i="14"/>
  <c r="H25" i="14" s="1"/>
  <c r="C24" i="14"/>
  <c r="F24" i="14" s="1"/>
  <c r="C23" i="14"/>
  <c r="E22" i="14"/>
  <c r="D22" i="14"/>
  <c r="C22" i="14"/>
  <c r="F22" i="14" s="1"/>
  <c r="C21" i="14"/>
  <c r="H21" i="14" s="1"/>
  <c r="F20" i="14"/>
  <c r="C20" i="14"/>
  <c r="C19" i="14"/>
  <c r="C18" i="14"/>
  <c r="E18" i="14" s="1"/>
  <c r="C17" i="14"/>
  <c r="H17" i="14" s="1"/>
  <c r="C16" i="14"/>
  <c r="C15" i="14"/>
  <c r="H15" i="14" s="1"/>
  <c r="E14" i="14"/>
  <c r="D14" i="14"/>
  <c r="C14" i="14"/>
  <c r="F14" i="14" s="1"/>
  <c r="C13" i="14"/>
  <c r="H13" i="14" s="1"/>
  <c r="F12" i="14"/>
  <c r="C12" i="14"/>
  <c r="C11" i="14"/>
  <c r="H11" i="14" s="1"/>
  <c r="E10" i="14"/>
  <c r="D10" i="14"/>
  <c r="C10" i="14"/>
  <c r="F10" i="14" s="1"/>
  <c r="C9" i="14"/>
  <c r="H9" i="14" s="1"/>
  <c r="C8" i="14"/>
  <c r="C7" i="14"/>
  <c r="D7" i="14" s="1"/>
  <c r="E6" i="14"/>
  <c r="D6" i="14"/>
  <c r="C6" i="14"/>
  <c r="H6" i="14" s="1"/>
  <c r="C5" i="14"/>
  <c r="H5" i="14" s="1"/>
  <c r="C4" i="14"/>
  <c r="F4" i="14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C3" i="14"/>
  <c r="E5" i="14" l="1"/>
  <c r="E9" i="14"/>
  <c r="E13" i="14"/>
  <c r="D15" i="14"/>
  <c r="E17" i="14"/>
  <c r="D18" i="14"/>
  <c r="E21" i="14"/>
  <c r="I21" i="14" s="1"/>
  <c r="F5" i="14"/>
  <c r="I5" i="14" s="1"/>
  <c r="F6" i="14"/>
  <c r="I6" i="14" s="1"/>
  <c r="H7" i="14"/>
  <c r="F9" i="14"/>
  <c r="F13" i="14"/>
  <c r="F17" i="14"/>
  <c r="F21" i="14"/>
  <c r="G26" i="14"/>
  <c r="H26" i="14"/>
  <c r="I26" i="14" s="1"/>
  <c r="J26" i="14" s="1"/>
  <c r="G18" i="14"/>
  <c r="H18" i="14"/>
  <c r="G10" i="14"/>
  <c r="J10" i="14" s="1"/>
  <c r="H10" i="14"/>
  <c r="I10" i="14" s="1"/>
  <c r="G14" i="14"/>
  <c r="H14" i="14"/>
  <c r="I14" i="14" s="1"/>
  <c r="I17" i="14"/>
  <c r="F18" i="14"/>
  <c r="G22" i="14"/>
  <c r="J22" i="14" s="1"/>
  <c r="H22" i="14"/>
  <c r="F3" i="14"/>
  <c r="E3" i="14"/>
  <c r="E16" i="14"/>
  <c r="H16" i="14"/>
  <c r="D16" i="14"/>
  <c r="F27" i="14"/>
  <c r="E27" i="14"/>
  <c r="G27" i="14" s="1"/>
  <c r="H27" i="14"/>
  <c r="D27" i="14"/>
  <c r="D3" i="14"/>
  <c r="F16" i="14"/>
  <c r="F28" i="16"/>
  <c r="E28" i="16"/>
  <c r="G28" i="16" s="1"/>
  <c r="D28" i="16"/>
  <c r="G3" i="14"/>
  <c r="E8" i="14"/>
  <c r="G8" i="14" s="1"/>
  <c r="H8" i="14"/>
  <c r="D8" i="14"/>
  <c r="F11" i="14"/>
  <c r="E11" i="14"/>
  <c r="G11" i="14" s="1"/>
  <c r="G16" i="14"/>
  <c r="F19" i="14"/>
  <c r="H19" i="14"/>
  <c r="D19" i="14"/>
  <c r="E19" i="14"/>
  <c r="I19" i="14" s="1"/>
  <c r="I22" i="14"/>
  <c r="J5" i="15"/>
  <c r="F10" i="15"/>
  <c r="E10" i="15"/>
  <c r="G10" i="15" s="1"/>
  <c r="H10" i="15"/>
  <c r="D10" i="15"/>
  <c r="I13" i="15"/>
  <c r="J13" i="15" s="1"/>
  <c r="J21" i="15"/>
  <c r="I15" i="15"/>
  <c r="F18" i="15"/>
  <c r="E18" i="15"/>
  <c r="I18" i="15" s="1"/>
  <c r="H18" i="15"/>
  <c r="D18" i="15"/>
  <c r="I28" i="17"/>
  <c r="E4" i="14"/>
  <c r="I4" i="14" s="1"/>
  <c r="H4" i="14"/>
  <c r="D4" i="14"/>
  <c r="F7" i="14"/>
  <c r="E7" i="14"/>
  <c r="G7" i="14" s="1"/>
  <c r="J14" i="14"/>
  <c r="F23" i="14"/>
  <c r="E23" i="14"/>
  <c r="G23" i="14" s="1"/>
  <c r="H23" i="14"/>
  <c r="D23" i="14"/>
  <c r="F14" i="15"/>
  <c r="H14" i="15"/>
  <c r="E14" i="15"/>
  <c r="I14" i="15" s="1"/>
  <c r="D14" i="15"/>
  <c r="H3" i="14"/>
  <c r="G4" i="14"/>
  <c r="G6" i="14"/>
  <c r="J6" i="14" s="1"/>
  <c r="F8" i="14"/>
  <c r="D11" i="14"/>
  <c r="I12" i="14"/>
  <c r="E12" i="14"/>
  <c r="G12" i="14" s="1"/>
  <c r="H12" i="14"/>
  <c r="D12" i="14"/>
  <c r="F15" i="14"/>
  <c r="E15" i="14"/>
  <c r="G15" i="14" s="1"/>
  <c r="I18" i="14"/>
  <c r="J18" i="14" s="1"/>
  <c r="F6" i="15"/>
  <c r="D6" i="15"/>
  <c r="E6" i="15"/>
  <c r="G6" i="15" s="1"/>
  <c r="H6" i="15"/>
  <c r="I9" i="15"/>
  <c r="J9" i="15" s="1"/>
  <c r="J17" i="15"/>
  <c r="F22" i="15"/>
  <c r="I22" i="15" s="1"/>
  <c r="E22" i="15"/>
  <c r="G22" i="15" s="1"/>
  <c r="D22" i="15"/>
  <c r="G7" i="15"/>
  <c r="E24" i="15"/>
  <c r="G24" i="15" s="1"/>
  <c r="H24" i="15"/>
  <c r="D24" i="15"/>
  <c r="G5" i="14"/>
  <c r="G9" i="14"/>
  <c r="G13" i="14"/>
  <c r="G17" i="14"/>
  <c r="D20" i="14"/>
  <c r="H20" i="14"/>
  <c r="G21" i="14"/>
  <c r="J21" i="14" s="1"/>
  <c r="D24" i="14"/>
  <c r="H24" i="14"/>
  <c r="G25" i="14"/>
  <c r="J25" i="14" s="1"/>
  <c r="D28" i="14"/>
  <c r="H28" i="14"/>
  <c r="D3" i="15"/>
  <c r="G4" i="15"/>
  <c r="J4" i="15" s="1"/>
  <c r="D7" i="15"/>
  <c r="H7" i="15"/>
  <c r="G8" i="15"/>
  <c r="J8" i="15" s="1"/>
  <c r="D11" i="15"/>
  <c r="H11" i="15"/>
  <c r="G12" i="15"/>
  <c r="J12" i="15" s="1"/>
  <c r="D15" i="15"/>
  <c r="H15" i="15"/>
  <c r="G16" i="15"/>
  <c r="J16" i="15" s="1"/>
  <c r="D19" i="15"/>
  <c r="H19" i="15"/>
  <c r="G20" i="15"/>
  <c r="J20" i="15" s="1"/>
  <c r="F24" i="15"/>
  <c r="G25" i="15"/>
  <c r="J25" i="15" s="1"/>
  <c r="F27" i="15"/>
  <c r="E27" i="15"/>
  <c r="G27" i="15" s="1"/>
  <c r="F27" i="16"/>
  <c r="E27" i="16"/>
  <c r="G27" i="16" s="1"/>
  <c r="I27" i="16" s="1"/>
  <c r="D27" i="16"/>
  <c r="H28" i="18"/>
  <c r="G20" i="14"/>
  <c r="D5" i="14"/>
  <c r="D9" i="14"/>
  <c r="D13" i="14"/>
  <c r="D17" i="14"/>
  <c r="E20" i="14"/>
  <c r="I20" i="14" s="1"/>
  <c r="D21" i="14"/>
  <c r="E24" i="14"/>
  <c r="G24" i="14" s="1"/>
  <c r="D25" i="14"/>
  <c r="E28" i="14"/>
  <c r="I28" i="14" s="1"/>
  <c r="E3" i="15"/>
  <c r="D4" i="15"/>
  <c r="E7" i="15"/>
  <c r="I7" i="15" s="1"/>
  <c r="D8" i="15"/>
  <c r="E11" i="15"/>
  <c r="G11" i="15" s="1"/>
  <c r="D12" i="15"/>
  <c r="E15" i="15"/>
  <c r="G15" i="15" s="1"/>
  <c r="J15" i="15" s="1"/>
  <c r="D16" i="15"/>
  <c r="E19" i="15"/>
  <c r="I19" i="15" s="1"/>
  <c r="D20" i="15"/>
  <c r="E23" i="15"/>
  <c r="G23" i="15" s="1"/>
  <c r="H23" i="15"/>
  <c r="D27" i="15"/>
  <c r="E28" i="15"/>
  <c r="G28" i="15" s="1"/>
  <c r="H28" i="15"/>
  <c r="D28" i="15"/>
  <c r="E3" i="16"/>
  <c r="G3" i="16" s="1"/>
  <c r="H3" i="16"/>
  <c r="D3" i="16"/>
  <c r="E4" i="16"/>
  <c r="G4" i="16" s="1"/>
  <c r="H4" i="16"/>
  <c r="D4" i="16"/>
  <c r="E5" i="16"/>
  <c r="G5" i="16" s="1"/>
  <c r="H5" i="16"/>
  <c r="D5" i="16"/>
  <c r="E6" i="16"/>
  <c r="G6" i="16" s="1"/>
  <c r="D6" i="16"/>
  <c r="E7" i="16"/>
  <c r="G7" i="16" s="1"/>
  <c r="H7" i="16"/>
  <c r="D7" i="16"/>
  <c r="E8" i="16"/>
  <c r="G8" i="16" s="1"/>
  <c r="H8" i="16"/>
  <c r="D8" i="16"/>
  <c r="E9" i="16"/>
  <c r="G9" i="16" s="1"/>
  <c r="H9" i="16"/>
  <c r="D9" i="16"/>
  <c r="E10" i="16"/>
  <c r="G10" i="16" s="1"/>
  <c r="D10" i="16"/>
  <c r="E11" i="16"/>
  <c r="G11" i="16" s="1"/>
  <c r="H11" i="16"/>
  <c r="D11" i="16"/>
  <c r="E12" i="16"/>
  <c r="G12" i="16" s="1"/>
  <c r="H12" i="16"/>
  <c r="D12" i="16"/>
  <c r="E13" i="16"/>
  <c r="G13" i="16" s="1"/>
  <c r="H13" i="16"/>
  <c r="D13" i="16"/>
  <c r="E14" i="16"/>
  <c r="G14" i="16" s="1"/>
  <c r="D14" i="16"/>
  <c r="E15" i="16"/>
  <c r="G15" i="16" s="1"/>
  <c r="H15" i="16"/>
  <c r="D15" i="16"/>
  <c r="E16" i="16"/>
  <c r="G16" i="16" s="1"/>
  <c r="H16" i="16"/>
  <c r="D16" i="16"/>
  <c r="E17" i="16"/>
  <c r="G17" i="16" s="1"/>
  <c r="H17" i="16"/>
  <c r="D17" i="16"/>
  <c r="E18" i="16"/>
  <c r="G18" i="16" s="1"/>
  <c r="D18" i="16"/>
  <c r="E19" i="16"/>
  <c r="G19" i="16" s="1"/>
  <c r="H19" i="16"/>
  <c r="D19" i="16"/>
  <c r="E20" i="16"/>
  <c r="G20" i="16" s="1"/>
  <c r="H20" i="16"/>
  <c r="D20" i="16"/>
  <c r="E21" i="16"/>
  <c r="G21" i="16" s="1"/>
  <c r="H21" i="16"/>
  <c r="D21" i="16"/>
  <c r="E22" i="16"/>
  <c r="G22" i="16" s="1"/>
  <c r="D22" i="16"/>
  <c r="E23" i="16"/>
  <c r="G23" i="16" s="1"/>
  <c r="H23" i="16"/>
  <c r="D23" i="16"/>
  <c r="E24" i="16"/>
  <c r="G24" i="16" s="1"/>
  <c r="H24" i="16"/>
  <c r="D24" i="16"/>
  <c r="F25" i="16"/>
  <c r="E25" i="16"/>
  <c r="D25" i="16"/>
  <c r="H27" i="16"/>
  <c r="F26" i="15"/>
  <c r="I26" i="15" s="1"/>
  <c r="J26" i="15" s="1"/>
  <c r="G26" i="16"/>
  <c r="G5" i="17"/>
  <c r="I5" i="17" s="1"/>
  <c r="G7" i="17"/>
  <c r="I7" i="17" s="1"/>
  <c r="G9" i="17"/>
  <c r="I9" i="17" s="1"/>
  <c r="G11" i="17"/>
  <c r="I11" i="17" s="1"/>
  <c r="G13" i="17"/>
  <c r="I13" i="17" s="1"/>
  <c r="G15" i="17"/>
  <c r="I15" i="17" s="1"/>
  <c r="G17" i="17"/>
  <c r="I17" i="17" s="1"/>
  <c r="G19" i="17"/>
  <c r="I19" i="17" s="1"/>
  <c r="G21" i="17"/>
  <c r="I21" i="17" s="1"/>
  <c r="G23" i="17"/>
  <c r="I23" i="17" s="1"/>
  <c r="G25" i="17"/>
  <c r="I25" i="17" s="1"/>
  <c r="G27" i="17"/>
  <c r="I27" i="17" s="1"/>
  <c r="H3" i="18"/>
  <c r="H7" i="18"/>
  <c r="H11" i="18"/>
  <c r="H15" i="18"/>
  <c r="H19" i="18"/>
  <c r="H26" i="16"/>
  <c r="H4" i="18"/>
  <c r="H8" i="18"/>
  <c r="H12" i="18"/>
  <c r="H16" i="18"/>
  <c r="H20" i="18"/>
  <c r="F28" i="18"/>
  <c r="G3" i="18"/>
  <c r="I3" i="18" s="1"/>
  <c r="G4" i="18"/>
  <c r="I4" i="18" s="1"/>
  <c r="G5" i="18"/>
  <c r="I5" i="18" s="1"/>
  <c r="G6" i="18"/>
  <c r="I6" i="18" s="1"/>
  <c r="G7" i="18"/>
  <c r="G8" i="18"/>
  <c r="I8" i="18" s="1"/>
  <c r="G9" i="18"/>
  <c r="I9" i="18" s="1"/>
  <c r="G10" i="18"/>
  <c r="I10" i="18" s="1"/>
  <c r="G11" i="18"/>
  <c r="I11" i="18" s="1"/>
  <c r="G12" i="18"/>
  <c r="I12" i="18" s="1"/>
  <c r="G13" i="18"/>
  <c r="I13" i="18" s="1"/>
  <c r="G14" i="18"/>
  <c r="I14" i="18" s="1"/>
  <c r="G15" i="18"/>
  <c r="I15" i="18" s="1"/>
  <c r="G16" i="18"/>
  <c r="I16" i="18" s="1"/>
  <c r="G17" i="18"/>
  <c r="I17" i="18" s="1"/>
  <c r="G18" i="18"/>
  <c r="I18" i="18" s="1"/>
  <c r="G19" i="18"/>
  <c r="I19" i="18" s="1"/>
  <c r="G20" i="18"/>
  <c r="I20" i="18" s="1"/>
  <c r="G21" i="18"/>
  <c r="I21" i="18" s="1"/>
  <c r="G22" i="18"/>
  <c r="I22" i="18" s="1"/>
  <c r="G23" i="18"/>
  <c r="I23" i="18" s="1"/>
  <c r="G24" i="18"/>
  <c r="I24" i="18" s="1"/>
  <c r="G25" i="18"/>
  <c r="I25" i="18" s="1"/>
  <c r="G26" i="18"/>
  <c r="I26" i="18" s="1"/>
  <c r="G27" i="18"/>
  <c r="I27" i="18" s="1"/>
  <c r="G28" i="18"/>
  <c r="I28" i="18" s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G19" i="14" l="1"/>
  <c r="J19" i="14" s="1"/>
  <c r="I23" i="14"/>
  <c r="I13" i="14"/>
  <c r="J13" i="14" s="1"/>
  <c r="J23" i="14"/>
  <c r="J5" i="14"/>
  <c r="I24" i="14"/>
  <c r="J24" i="14" s="1"/>
  <c r="I16" i="14"/>
  <c r="I9" i="14"/>
  <c r="J9" i="14" s="1"/>
  <c r="J17" i="14"/>
  <c r="I3" i="14"/>
  <c r="I28" i="16"/>
  <c r="J22" i="15"/>
  <c r="J10" i="15"/>
  <c r="I18" i="16"/>
  <c r="I23" i="16"/>
  <c r="I11" i="16"/>
  <c r="G3" i="15"/>
  <c r="J3" i="15" s="1"/>
  <c r="J4" i="14"/>
  <c r="I7" i="14"/>
  <c r="J7" i="14" s="1"/>
  <c r="I10" i="15"/>
  <c r="G14" i="15"/>
  <c r="J14" i="15" s="1"/>
  <c r="I26" i="16"/>
  <c r="H25" i="16"/>
  <c r="G25" i="16"/>
  <c r="I25" i="16" s="1"/>
  <c r="I24" i="16"/>
  <c r="I20" i="16"/>
  <c r="I16" i="16"/>
  <c r="I12" i="16"/>
  <c r="I8" i="16"/>
  <c r="I4" i="16"/>
  <c r="I23" i="15"/>
  <c r="J23" i="15" s="1"/>
  <c r="G19" i="15"/>
  <c r="J19" i="15" s="1"/>
  <c r="G28" i="14"/>
  <c r="J28" i="14" s="1"/>
  <c r="I11" i="14"/>
  <c r="J11" i="14" s="1"/>
  <c r="I11" i="15"/>
  <c r="J11" i="15" s="1"/>
  <c r="I27" i="14"/>
  <c r="J27" i="14" s="1"/>
  <c r="G18" i="15"/>
  <c r="J18" i="15" s="1"/>
  <c r="I22" i="16"/>
  <c r="J20" i="14"/>
  <c r="J7" i="15"/>
  <c r="J16" i="14"/>
  <c r="J3" i="14"/>
  <c r="I7" i="18"/>
  <c r="I19" i="16"/>
  <c r="I15" i="16"/>
  <c r="I7" i="16"/>
  <c r="I3" i="16"/>
  <c r="I28" i="15"/>
  <c r="J28" i="15" s="1"/>
  <c r="I24" i="15"/>
  <c r="J24" i="15" s="1"/>
  <c r="H28" i="16"/>
  <c r="H22" i="16"/>
  <c r="I21" i="16"/>
  <c r="H18" i="16"/>
  <c r="I17" i="16"/>
  <c r="H14" i="16"/>
  <c r="I14" i="16" s="1"/>
  <c r="I13" i="16"/>
  <c r="H10" i="16"/>
  <c r="I10" i="16" s="1"/>
  <c r="I9" i="16"/>
  <c r="H6" i="16"/>
  <c r="I6" i="16" s="1"/>
  <c r="I5" i="16"/>
  <c r="I27" i="15"/>
  <c r="J27" i="15" s="1"/>
  <c r="I6" i="15"/>
  <c r="J6" i="15" s="1"/>
  <c r="I15" i="14"/>
  <c r="J15" i="14" s="1"/>
  <c r="J12" i="14"/>
  <c r="I8" i="14"/>
  <c r="J8" i="14" s="1"/>
  <c r="B23" i="7" l="1"/>
  <c r="B24" i="7"/>
  <c r="B20" i="7"/>
  <c r="B18" i="7" s="1"/>
  <c r="B16" i="7"/>
  <c r="B15" i="7"/>
  <c r="B3" i="6"/>
  <c r="X15" i="4"/>
  <c r="X17" i="4"/>
  <c r="Q16" i="4"/>
  <c r="M17" i="4"/>
  <c r="C5" i="4"/>
  <c r="X16" i="4" l="1"/>
  <c r="M16" i="4"/>
  <c r="B21" i="7"/>
  <c r="B13" i="7"/>
  <c r="J12" i="4"/>
  <c r="K12" i="4" l="1"/>
  <c r="P16" i="4"/>
  <c r="W16" i="4" s="1"/>
  <c r="B8" i="5"/>
  <c r="A8" i="5"/>
  <c r="F10" i="5"/>
  <c r="F11" i="5"/>
  <c r="I15" i="4"/>
  <c r="J15" i="4" s="1"/>
  <c r="K15" i="4" s="1"/>
  <c r="C3" i="8"/>
  <c r="Q15" i="4" l="1"/>
  <c r="B16" i="5"/>
  <c r="C8" i="5"/>
  <c r="G8" i="5"/>
  <c r="H8" i="5" s="1"/>
  <c r="B108" i="2"/>
  <c r="B27" i="2"/>
  <c r="B18" i="2"/>
  <c r="B17" i="2" l="1"/>
  <c r="B7" i="6" l="1"/>
  <c r="B26" i="6"/>
  <c r="C6" i="5" l="1"/>
  <c r="C7" i="5"/>
  <c r="B5" i="5"/>
  <c r="B6" i="5"/>
  <c r="B7" i="5"/>
  <c r="A6" i="5"/>
  <c r="A7" i="5"/>
  <c r="A5" i="5"/>
  <c r="B15" i="5"/>
  <c r="H11" i="5" l="1"/>
  <c r="C11" i="5"/>
  <c r="G11" i="5" s="1"/>
  <c r="H5" i="5"/>
  <c r="G7" i="5"/>
  <c r="H7" i="5" s="1"/>
  <c r="G6" i="5"/>
  <c r="H6" i="5" s="1"/>
  <c r="C10" i="5"/>
  <c r="G10" i="5" s="1"/>
  <c r="H10" i="5" l="1"/>
  <c r="B6" i="6" l="1"/>
  <c r="B5" i="6"/>
  <c r="B4" i="6"/>
  <c r="B8" i="6"/>
  <c r="B15" i="6"/>
  <c r="Q13" i="4" l="1"/>
  <c r="Q14" i="4"/>
  <c r="Q17" i="4"/>
  <c r="M12" i="4"/>
  <c r="M13" i="4"/>
  <c r="M14" i="4"/>
  <c r="M15" i="4"/>
  <c r="B2" i="4"/>
  <c r="V18" i="4" l="1"/>
  <c r="B30" i="7" s="1"/>
  <c r="W12" i="4"/>
  <c r="X13" i="4" l="1"/>
  <c r="X12" i="4"/>
  <c r="X14" i="4"/>
  <c r="W13" i="4"/>
  <c r="P14" i="4"/>
  <c r="W14" i="4" s="1"/>
  <c r="B35" i="6" l="1"/>
  <c r="B28" i="6" l="1"/>
  <c r="B27" i="6"/>
  <c r="T18" i="4" l="1"/>
  <c r="A2" i="4" l="1"/>
  <c r="B40" i="6"/>
  <c r="B38" i="6"/>
  <c r="B70" i="2"/>
  <c r="B61" i="2"/>
  <c r="A8" i="6"/>
  <c r="Q12" i="4" l="1"/>
  <c r="B9" i="3"/>
  <c r="B2" i="3"/>
  <c r="B19" i="6" l="1"/>
  <c r="B39" i="6"/>
  <c r="B24" i="6" l="1"/>
  <c r="M18" i="4"/>
  <c r="B2" i="2"/>
  <c r="D10" i="6" s="1"/>
  <c r="A4" i="6" l="1"/>
  <c r="A5" i="6"/>
  <c r="A6" i="6"/>
  <c r="A7" i="6"/>
  <c r="A3" i="6"/>
  <c r="I18" i="4"/>
  <c r="Q18" i="4"/>
  <c r="J18" i="4" l="1"/>
  <c r="P17" i="4"/>
  <c r="W17" i="4" s="1"/>
  <c r="B37" i="6"/>
  <c r="K18" i="4"/>
  <c r="B18" i="6"/>
  <c r="B48" i="3"/>
  <c r="B21" i="6" s="1"/>
  <c r="B41" i="3"/>
  <c r="B10" i="2"/>
  <c r="B99" i="2"/>
  <c r="B78" i="2"/>
  <c r="B85" i="2"/>
  <c r="B90" i="2"/>
  <c r="B49" i="2"/>
  <c r="B56" i="2"/>
  <c r="B20" i="6" l="1"/>
  <c r="B55" i="3"/>
  <c r="P15" i="4"/>
  <c r="W15" i="4" s="1"/>
  <c r="B25" i="6" s="1"/>
  <c r="X18" i="4"/>
  <c r="B29" i="6" s="1"/>
  <c r="H12" i="5"/>
  <c r="B3" i="5" s="1"/>
  <c r="B18" i="5" s="1"/>
  <c r="N18" i="4"/>
  <c r="D17" i="6"/>
  <c r="O18" i="4"/>
  <c r="G7" i="4" s="1"/>
  <c r="B41" i="2"/>
  <c r="B34" i="2"/>
  <c r="L18" i="4" l="1"/>
  <c r="P18" i="4"/>
  <c r="B33" i="2"/>
  <c r="B14" i="6" s="1"/>
  <c r="D14" i="6" s="1"/>
  <c r="D15" i="6"/>
  <c r="W18" i="4" l="1"/>
  <c r="B10" i="4" s="1"/>
  <c r="D23" i="6"/>
  <c r="B36" i="6"/>
  <c r="B5" i="7"/>
  <c r="B38" i="7" s="1"/>
  <c r="D12" i="6"/>
  <c r="D32" i="6" l="1"/>
  <c r="D31" i="6"/>
  <c r="D34" i="6" l="1"/>
  <c r="D42" i="6" s="1"/>
  <c r="D45" i="6" s="1"/>
  <c r="D4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tc={660222F0-B4F5-4600-8E8C-61EC3F3FC3C2}</author>
    <author>tc={AA33E663-0ACF-4422-B05E-75E725FACA87}</author>
  </authors>
  <commentList>
    <comment ref="V11" authorId="0" shapeId="0" xr:uid="{660222F0-B4F5-4600-8E8C-61EC3F3FC3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Exemple : 
Maribel pour l'encadrement pour augmenter le temps d'encadrement au-delà du financement ONE
APE pour l'entretien ou le support admin 
Etc.</t>
      </text>
    </comment>
    <comment ref="Q15" authorId="1" shapeId="0" xr:uid="{AA33E663-0ACF-4422-B05E-75E725FACA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Coût proratisé selon le temps en travail en raison du temps de travail supplémentaire affecté à d'autres missions dans le SAE.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tc={9C9B6455-3005-47FA-90FB-97D5F20A61B4}</author>
    <author>tc={6FFE2AE3-40A5-4C76-8694-551B451F0D2C}</author>
  </authors>
  <commentList>
    <comment ref="C14" authorId="0" shapeId="0" xr:uid="{9C9B6455-3005-47FA-90FB-97D5F20A61B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Amortissement en 5 ans 
% à adapter selon la durée de l'amortissement
</t>
      </text>
    </comment>
    <comment ref="C15" authorId="1" shapeId="0" xr:uid="{6FFE2AE3-40A5-4C76-8694-551B451F0D2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Amortissement en 3 ans 
À adapter </t>
      </text>
    </comment>
  </commentList>
</comments>
</file>

<file path=xl/sharedStrings.xml><?xml version="1.0" encoding="utf-8"?>
<sst xmlns="http://schemas.openxmlformats.org/spreadsheetml/2006/main" count="469" uniqueCount="307">
  <si>
    <t xml:space="preserve">Les onglets jaunes sont des onglets "ressources" qui contiennent des données utilisées dans les autres onglets. </t>
  </si>
  <si>
    <t>Les cellules grisées sont à compléter. (si nécessaire)</t>
  </si>
  <si>
    <t xml:space="preserve">Le format des cellules est déjà paramétré. </t>
  </si>
  <si>
    <t xml:space="preserve">Les lignes "Autre" sont à renommer selon les spécificités du projet. </t>
  </si>
  <si>
    <t xml:space="preserve">Pour ajouter une ligne dans une rubrique, </t>
  </si>
  <si>
    <t xml:space="preserve">- sélectionner la dernière ligne de la rubrique (en cliquant sur le nombre au début de la ligne),  </t>
  </si>
  <si>
    <t>- faire clic droit, "Insérer"</t>
  </si>
  <si>
    <t>La ligne s'insère au dessus de la dernière ligne. Elle est ainsi prise en compte dans le sous total.</t>
  </si>
  <si>
    <t>SIGNALETIQUE</t>
  </si>
  <si>
    <t>Pouvoir Organisateur</t>
  </si>
  <si>
    <t xml:space="preserve">Adresse </t>
  </si>
  <si>
    <t>CP</t>
  </si>
  <si>
    <t>Localité</t>
  </si>
  <si>
    <t>Subrégion</t>
  </si>
  <si>
    <t xml:space="preserve">NAMUR </t>
  </si>
  <si>
    <t xml:space="preserve">Frais d'installation </t>
  </si>
  <si>
    <t xml:space="preserve">Commentaires généraux </t>
  </si>
  <si>
    <t>Détails</t>
  </si>
  <si>
    <t>Frais de notaire</t>
  </si>
  <si>
    <t>Frais d'architecte</t>
  </si>
  <si>
    <t>Frais administratifs</t>
  </si>
  <si>
    <t>Frais de publicité</t>
  </si>
  <si>
    <t>Autre (à renommer)</t>
  </si>
  <si>
    <t>Frais d'infrastructure</t>
  </si>
  <si>
    <t>Achat de terrain et construction</t>
  </si>
  <si>
    <t>Achat du bâtiment</t>
  </si>
  <si>
    <t>Frais de rénovation</t>
  </si>
  <si>
    <t xml:space="preserve">Frais d'aménagement </t>
  </si>
  <si>
    <t>Intérieur</t>
  </si>
  <si>
    <t>Installation de chauffage</t>
  </si>
  <si>
    <t>Eclairage</t>
  </si>
  <si>
    <t>Protection solaire</t>
  </si>
  <si>
    <t>Peinture</t>
  </si>
  <si>
    <t>Revêtement de sol de type vinyle</t>
  </si>
  <si>
    <t xml:space="preserve">Extérieur </t>
  </si>
  <si>
    <t xml:space="preserve">Pelouse </t>
  </si>
  <si>
    <t>Clôtures</t>
  </si>
  <si>
    <t xml:space="preserve">Achat mobilier </t>
  </si>
  <si>
    <t xml:space="preserve">Espace accueil </t>
  </si>
  <si>
    <t>Casiers</t>
  </si>
  <si>
    <t>Table à langer</t>
  </si>
  <si>
    <t>Etagère ou rangement pour sièges coques</t>
  </si>
  <si>
    <t>Portes manteaux</t>
  </si>
  <si>
    <t>Paillassons anti salissures</t>
  </si>
  <si>
    <t xml:space="preserve">Espace activités intérieurs </t>
  </si>
  <si>
    <t xml:space="preserve">Meuble de rangement </t>
  </si>
  <si>
    <t>Meubles bas</t>
  </si>
  <si>
    <t xml:space="preserve">Tapis de sol </t>
  </si>
  <si>
    <t>Modules</t>
  </si>
  <si>
    <t>Espace activités extérieures</t>
  </si>
  <si>
    <t>Chaises et tables</t>
  </si>
  <si>
    <t>Rangements pour les jeux extérieurs</t>
  </si>
  <si>
    <t xml:space="preserve">Espace cuisine </t>
  </si>
  <si>
    <t xml:space="preserve">Aménagement espace cuisine 
(plan de travail, table de cuisson, évier, etc.) </t>
  </si>
  <si>
    <t xml:space="preserve">Espace repas </t>
  </si>
  <si>
    <t>Chaises basse adultes</t>
  </si>
  <si>
    <t>Chaises hautes</t>
  </si>
  <si>
    <t>Fauteuil allaitement</t>
  </si>
  <si>
    <t>Tables enfants</t>
  </si>
  <si>
    <t xml:space="preserve">Espace soins et sanitaires </t>
  </si>
  <si>
    <t>Tables à langer + matelas</t>
  </si>
  <si>
    <t>Armoire à pharmacie</t>
  </si>
  <si>
    <t>Rangements individuels matériel de change</t>
  </si>
  <si>
    <t>Lavabos bas pour enfants</t>
  </si>
  <si>
    <t xml:space="preserve">Espace sommeil-repos </t>
  </si>
  <si>
    <t>en lien avec achat matériel</t>
  </si>
  <si>
    <t>Lits à barreaux (normes NBN EN 716)</t>
  </si>
  <si>
    <t>Matelas</t>
  </si>
  <si>
    <t>Couchettes</t>
  </si>
  <si>
    <t>Draps</t>
  </si>
  <si>
    <t>Protèges matelas</t>
  </si>
  <si>
    <t xml:space="preserve">Espace buanderie </t>
  </si>
  <si>
    <t>Armoires et rangement</t>
  </si>
  <si>
    <t xml:space="preserve">Espace du personnel </t>
  </si>
  <si>
    <t>Table(s)</t>
  </si>
  <si>
    <t>Chaises</t>
  </si>
  <si>
    <t>Rangements</t>
  </si>
  <si>
    <t xml:space="preserve">Espace bureau </t>
  </si>
  <si>
    <t xml:space="preserve">Bureau </t>
  </si>
  <si>
    <t xml:space="preserve">Chaises </t>
  </si>
  <si>
    <t>Armoires et rangements</t>
  </si>
  <si>
    <t xml:space="preserve">Achat de matériel </t>
  </si>
  <si>
    <t>Enveloppe globale</t>
  </si>
  <si>
    <t>enveloppe globale ou détail ci-dessous</t>
  </si>
  <si>
    <t>Extincteurs</t>
  </si>
  <si>
    <t>à adapter en fonction du mode de préparation des repas</t>
  </si>
  <si>
    <t>Téléphone</t>
  </si>
  <si>
    <t>FRAIS DE FONCTIONNEMENT</t>
  </si>
  <si>
    <t>Approvisionnements</t>
  </si>
  <si>
    <t>Commentaires généraux</t>
  </si>
  <si>
    <t>Approvisionnements repas</t>
  </si>
  <si>
    <t>Sous-traitance repas</t>
  </si>
  <si>
    <t>Approvisionnements goûters</t>
  </si>
  <si>
    <t>Services et biens divers</t>
  </si>
  <si>
    <t>Loyers</t>
  </si>
  <si>
    <t>Charges locatives</t>
  </si>
  <si>
    <t>Entretien et réparation</t>
  </si>
  <si>
    <t>Produits d'entretien divers</t>
  </si>
  <si>
    <t>Petit matériel non amortissable</t>
  </si>
  <si>
    <t>Eau</t>
  </si>
  <si>
    <t>Electricité</t>
  </si>
  <si>
    <t>Internet</t>
  </si>
  <si>
    <t>Frais postaux</t>
  </si>
  <si>
    <t>Fournitures de bureau</t>
  </si>
  <si>
    <t>Fournitures informatiques</t>
  </si>
  <si>
    <t>Documentation</t>
  </si>
  <si>
    <t>Frais pharmaceutiques</t>
  </si>
  <si>
    <t>Assurance responsabilité civile</t>
  </si>
  <si>
    <t>Assurance Incendie</t>
  </si>
  <si>
    <t>Assurance organisateur de manifestations diverses</t>
  </si>
  <si>
    <t>Honoraires d'avocat</t>
  </si>
  <si>
    <t>Publications légales</t>
  </si>
  <si>
    <t>Annonces et insertions</t>
  </si>
  <si>
    <t xml:space="preserve">Frais de site internet </t>
  </si>
  <si>
    <t>Frais de déplacements missions</t>
  </si>
  <si>
    <t>Secrétariat social</t>
  </si>
  <si>
    <t>Formations</t>
  </si>
  <si>
    <t xml:space="preserve">Taxes </t>
  </si>
  <si>
    <t>Frais de cadastre</t>
  </si>
  <si>
    <t>Immondices</t>
  </si>
  <si>
    <t>AFSCA</t>
  </si>
  <si>
    <t xml:space="preserve">Charges financières </t>
  </si>
  <si>
    <t>Intérêt crédit hypothécaire</t>
  </si>
  <si>
    <t>Frais bancaires</t>
  </si>
  <si>
    <t xml:space="preserve">Intérêts </t>
  </si>
  <si>
    <t>TOTAL</t>
  </si>
  <si>
    <t>EMPLOI</t>
  </si>
  <si>
    <t>Norme d'encadrement minimale</t>
  </si>
  <si>
    <t>Accueil</t>
  </si>
  <si>
    <t>ETP</t>
  </si>
  <si>
    <t>Encadrement</t>
  </si>
  <si>
    <t>Direction MA</t>
  </si>
  <si>
    <t>Logistique et cuisine</t>
  </si>
  <si>
    <t>Entretien</t>
  </si>
  <si>
    <t>Admin</t>
  </si>
  <si>
    <t>Frais de personnel</t>
  </si>
  <si>
    <t>Déplacements dom-trav voiture</t>
  </si>
  <si>
    <t>1ère année uniquement</t>
  </si>
  <si>
    <t xml:space="preserve">Fonction </t>
  </si>
  <si>
    <t>ouv./empl.</t>
  </si>
  <si>
    <t>Nouvel engagement ?</t>
  </si>
  <si>
    <t>Financement</t>
  </si>
  <si>
    <t>Ancienneté</t>
  </si>
  <si>
    <t>Salaire brut TP</t>
  </si>
  <si>
    <t>Salaire brut mensuel</t>
  </si>
  <si>
    <t>Brut annuel</t>
  </si>
  <si>
    <t>Double PV</t>
  </si>
  <si>
    <t>Cotisations ONVA</t>
  </si>
  <si>
    <t>PFA</t>
  </si>
  <si>
    <t>ONSS</t>
  </si>
  <si>
    <t>Assurance-loi</t>
  </si>
  <si>
    <t xml:space="preserve">Médecine 
du travail </t>
  </si>
  <si>
    <t>Nbre jours de travail / semaine</t>
  </si>
  <si>
    <t xml:space="preserve">Intervention dplt dom-trav </t>
  </si>
  <si>
    <t>Coût total</t>
  </si>
  <si>
    <t>Prov. PV</t>
  </si>
  <si>
    <t>Remarques</t>
  </si>
  <si>
    <t>employé-e</t>
  </si>
  <si>
    <t>oui</t>
  </si>
  <si>
    <t>ONE</t>
  </si>
  <si>
    <t>Fonds propres</t>
  </si>
  <si>
    <t>APE</t>
  </si>
  <si>
    <r>
      <rPr>
        <u/>
        <sz val="11"/>
        <color theme="1"/>
        <rFont val="Calibri"/>
        <family val="2"/>
        <scheme val="minor"/>
      </rPr>
      <t>NB</t>
    </r>
    <r>
      <rPr>
        <sz val="11"/>
        <color theme="1"/>
        <rFont val="Calibri"/>
        <family val="2"/>
        <scheme val="minor"/>
      </rPr>
      <t xml:space="preserve"> : 
</t>
    </r>
    <r>
      <rPr>
        <b/>
        <sz val="11"/>
        <color theme="1"/>
        <rFont val="Calibri"/>
        <family val="2"/>
        <scheme val="minor"/>
      </rPr>
      <t>Ancienneté</t>
    </r>
    <r>
      <rPr>
        <sz val="11"/>
        <color theme="1"/>
        <rFont val="Calibri"/>
        <family val="2"/>
        <scheme val="minor"/>
      </rPr>
      <t xml:space="preserve"> : Le calcul de lancienneté reconnue par l'ONE pour le financement de l'emploi peut être différente de l'ancienneté reconnue par l'employeur. Cette différence influencera le delta entre subside et charges.
</t>
    </r>
    <r>
      <rPr>
        <b/>
        <sz val="11"/>
        <color theme="1"/>
        <rFont val="Calibri"/>
        <family val="2"/>
        <scheme val="minor"/>
      </rPr>
      <t/>
    </r>
  </si>
  <si>
    <t>ouvrier-e</t>
  </si>
  <si>
    <t>RECETTES</t>
  </si>
  <si>
    <t>PFP</t>
  </si>
  <si>
    <t>Subsides ONE</t>
  </si>
  <si>
    <t>Subsides infrastructure</t>
  </si>
  <si>
    <t>Subsides provinciaux</t>
  </si>
  <si>
    <t>Subsides communaux</t>
  </si>
  <si>
    <t xml:space="preserve">Montant par jour de présence ? </t>
  </si>
  <si>
    <t>Montant par place ?</t>
  </si>
  <si>
    <t>Montant par jour de présence d'enfants de la commune</t>
  </si>
  <si>
    <t>Taux d'occupation par les enfants de la commune</t>
  </si>
  <si>
    <t>Autres (à renommer)</t>
  </si>
  <si>
    <t>Personnel</t>
  </si>
  <si>
    <t>Divers</t>
  </si>
  <si>
    <t>Frais de dplt encadrement PMS</t>
  </si>
  <si>
    <t>SYNTHESE</t>
  </si>
  <si>
    <t>Projet</t>
  </si>
  <si>
    <t>Frais liés au bâtiment</t>
  </si>
  <si>
    <t>total</t>
  </si>
  <si>
    <t>amortissement annuel</t>
  </si>
  <si>
    <t>charge annuelle</t>
  </si>
  <si>
    <t>Amortissement du mobilier</t>
  </si>
  <si>
    <t>Amortissement du matériel</t>
  </si>
  <si>
    <t>Frais de fonctionnement</t>
  </si>
  <si>
    <t>Approvisionnement</t>
  </si>
  <si>
    <t xml:space="preserve">Services et biens divers </t>
  </si>
  <si>
    <t>Taxes</t>
  </si>
  <si>
    <t>Emplois</t>
  </si>
  <si>
    <t>Provision PV (pour les nouveaux engagements)</t>
  </si>
  <si>
    <t xml:space="preserve">Coût annuel du projet </t>
  </si>
  <si>
    <t>Recettes</t>
  </si>
  <si>
    <t>PFP annuelle / place  x  capacité réelle</t>
  </si>
  <si>
    <t>Aides à l'emploi</t>
  </si>
  <si>
    <t>Autres subsides</t>
  </si>
  <si>
    <t>Recettes annuelles du projet</t>
  </si>
  <si>
    <t>ACS</t>
  </si>
  <si>
    <t>ALE</t>
  </si>
  <si>
    <t>Art. 60</t>
  </si>
  <si>
    <t>Encadrement (PMS)</t>
  </si>
  <si>
    <t>Normes d'encadrement</t>
  </si>
  <si>
    <t>Capacité</t>
  </si>
  <si>
    <t xml:space="preserve">SUBRÉGIONS </t>
  </si>
  <si>
    <t>BRUXELLES-CAPITALE</t>
  </si>
  <si>
    <t xml:space="preserve">BRABANT WALLON </t>
  </si>
  <si>
    <t>HAINAUT</t>
  </si>
  <si>
    <t>LIÈGE</t>
  </si>
  <si>
    <t xml:space="preserve">LUXEMBOURG </t>
  </si>
  <si>
    <t xml:space="preserve">FÉDÉRATION WALLONIE-BRUXELLES </t>
  </si>
  <si>
    <r>
      <rPr>
        <b/>
        <sz val="11"/>
        <color theme="1"/>
        <rFont val="Calibri"/>
        <family val="2"/>
        <scheme val="minor"/>
      </rPr>
      <t>Provision pour PV</t>
    </r>
    <r>
      <rPr>
        <sz val="11"/>
        <color theme="1"/>
        <rFont val="Calibri"/>
        <family val="2"/>
        <scheme val="minor"/>
      </rPr>
      <t xml:space="preserve"> : Si les travailleuses ne font pas déjà partie du personnel salarié, une provision pour pécule de vacances est à prévoir la première année (18,2 % pour les employé-es, 10,27 % de 108 % de la rémunération brute annuelle pour les ouvier-es) Le mi-temps sur fond propore permet un support lors des moments plus complexes tels que les familiarisations ou la finalisation des repas. En comptabilisant 3,8h par jour principalement de 11 à 14h, cette personne permet également un support afin que les tâches organisationnelles n'impactent pas la quelité du temps de présence auprès des enfants.</t>
    </r>
  </si>
  <si>
    <t>Sacs de couchage d'appoint</t>
  </si>
  <si>
    <t xml:space="preserve">machine à laver </t>
  </si>
  <si>
    <t>sèchoire</t>
  </si>
  <si>
    <t>Bouilloire</t>
  </si>
  <si>
    <t xml:space="preserve">Vaisselles etc. </t>
  </si>
  <si>
    <t>Machine à café</t>
  </si>
  <si>
    <t>Micro onde</t>
  </si>
  <si>
    <t>Dérouleurs papier sanitaire</t>
  </si>
  <si>
    <t xml:space="preserve">Casiers individuels - rangements, porte-manteaux etc. </t>
  </si>
  <si>
    <t xml:space="preserve">! Trésorerie appointements </t>
  </si>
  <si>
    <t xml:space="preserve">3 mois = </t>
  </si>
  <si>
    <t xml:space="preserve"> ! Trésorerie </t>
  </si>
  <si>
    <t>Estimation du financement de l'emploi par l'ONE</t>
  </si>
  <si>
    <t>forfait annuel</t>
  </si>
  <si>
    <t xml:space="preserve">forfait mensuel / ETP selon anc. </t>
  </si>
  <si>
    <t xml:space="preserve">forfait mensuel selon ETP et anc. </t>
  </si>
  <si>
    <t>année 1</t>
  </si>
  <si>
    <t>année 2</t>
  </si>
  <si>
    <t>Résultat année 1</t>
  </si>
  <si>
    <t>Résultat année 2</t>
  </si>
  <si>
    <t>prov PV</t>
  </si>
  <si>
    <t xml:space="preserve">Cloture </t>
  </si>
  <si>
    <t>Gaz / Mazout de chauffage</t>
  </si>
  <si>
    <t>Armoires de stockage alimentaire</t>
  </si>
  <si>
    <t xml:space="preserve">Chaises et tables adaptées à l'âge des enfants </t>
  </si>
  <si>
    <t>Barrière</t>
  </si>
  <si>
    <t>Toile solaire</t>
  </si>
  <si>
    <t xml:space="preserve">Plexiglass </t>
  </si>
  <si>
    <t>Parking vélo</t>
  </si>
  <si>
    <t xml:space="preserve">Loyers et charges locatives 
selon partenariat </t>
  </si>
  <si>
    <t xml:space="preserve">Installation internet </t>
  </si>
  <si>
    <t>RC objective</t>
  </si>
  <si>
    <t>ALE - aide préparation repas</t>
  </si>
  <si>
    <t>non</t>
  </si>
  <si>
    <t xml:space="preserve">Capacité </t>
  </si>
  <si>
    <r>
      <t xml:space="preserve">FRAIS D'INVESTISSEMENT
</t>
    </r>
    <r>
      <rPr>
        <i/>
        <sz val="10"/>
        <color theme="1"/>
        <rFont val="Calibri"/>
        <family val="2"/>
        <scheme val="minor"/>
      </rPr>
      <t>(facultatif si MA existant - à évaluer selon les modifications nécessaires)</t>
    </r>
  </si>
  <si>
    <t>Détail</t>
  </si>
  <si>
    <t xml:space="preserve">Forfait frais </t>
  </si>
  <si>
    <t>Forfait frais</t>
  </si>
  <si>
    <t xml:space="preserve">Aides à l'emploi </t>
  </si>
  <si>
    <t>Plan financier ministructure - Mode d'emploi</t>
  </si>
  <si>
    <r>
      <t xml:space="preserve">PFP moyenne par subrégion
</t>
    </r>
    <r>
      <rPr>
        <b/>
        <sz val="9"/>
        <color theme="1"/>
        <rFont val="Calibri"/>
        <family val="2"/>
        <scheme val="minor"/>
      </rPr>
      <t>RA ONE 2022 - "L'ONE en chiffres"</t>
    </r>
  </si>
  <si>
    <t>Emplois non financés (à définir selon l'organisation du SAE)</t>
  </si>
  <si>
    <r>
      <rPr>
        <b/>
        <sz val="11"/>
        <color theme="1"/>
        <rFont val="Calibri"/>
        <family val="2"/>
        <scheme val="minor"/>
      </rPr>
      <t xml:space="preserve">Pécule de vacances </t>
    </r>
    <r>
      <rPr>
        <sz val="11"/>
        <color theme="1"/>
        <rFont val="Calibri"/>
        <family val="2"/>
        <scheme val="minor"/>
      </rPr>
      <t>: 
employé-e : double PV = salaire brut mensuel x 92 % 
ouvrier-e : simple et double PV = versé par l'ONVA (=&gt; cotisations ONVA)</t>
    </r>
  </si>
  <si>
    <r>
      <rPr>
        <b/>
        <sz val="11"/>
        <color theme="1"/>
        <rFont val="Calibri"/>
        <family val="2"/>
        <scheme val="minor"/>
      </rPr>
      <t>PFA</t>
    </r>
    <r>
      <rPr>
        <sz val="11"/>
        <color theme="1"/>
        <rFont val="Calibri"/>
        <family val="2"/>
        <scheme val="minor"/>
      </rPr>
      <t xml:space="preserve"> = montant forfaitaire + 2,5 % de la rémunération annuelle brute</t>
    </r>
  </si>
  <si>
    <t>Ancien-
neté</t>
  </si>
  <si>
    <t>Aide(s) à l'emploi</t>
  </si>
  <si>
    <t>73,11 € / mois / ETP (2019 =&gt; indexation ?)</t>
  </si>
  <si>
    <t>( = emploi + déplacements)</t>
  </si>
  <si>
    <t>Nbre de jours d'ouverture du MA</t>
  </si>
  <si>
    <t>(365 - 20 VA - 5 VS - 10 fériés) - ouverture 4 jours / 5</t>
  </si>
  <si>
    <t>Taux d'occupation théorique (= contrats d'accueil)</t>
  </si>
  <si>
    <t>Subside basé sur les jours de présences</t>
  </si>
  <si>
    <t xml:space="preserve">Subside basé sur le nombre de places </t>
  </si>
  <si>
    <t xml:space="preserve">Subside forfaitaire annuel </t>
  </si>
  <si>
    <t>Subside basé sur jours de présences des enfants de la commune</t>
  </si>
  <si>
    <t>Les différentes options de partenariat s'additionnent. 
Ne complétez que les champ d'application</t>
  </si>
  <si>
    <t>Autre</t>
  </si>
  <si>
    <t>Honoraires comptables</t>
  </si>
  <si>
    <t>Co-accueil</t>
  </si>
  <si>
    <t>statutaire : 
oui / non</t>
  </si>
  <si>
    <t>Barème</t>
  </si>
  <si>
    <t>E3</t>
  </si>
  <si>
    <t>Accueillante sans diplôme</t>
  </si>
  <si>
    <t xml:space="preserve">index </t>
  </si>
  <si>
    <t>Rémunération annuelle</t>
  </si>
  <si>
    <t xml:space="preserve">Rémunération annuelle Indexée  </t>
  </si>
  <si>
    <t>Rémunération mensuelle indexée</t>
  </si>
  <si>
    <t>Double pécule</t>
  </si>
  <si>
    <t>Charges patronales</t>
  </si>
  <si>
    <t>Forfait Accueillantes 15%</t>
  </si>
  <si>
    <t>Total rémunération annuelle sans charges patronales</t>
  </si>
  <si>
    <t>Total rémunération annuelle avec les charges patronales</t>
  </si>
  <si>
    <t>D2</t>
  </si>
  <si>
    <t>Accueillante diplômée</t>
  </si>
  <si>
    <t xml:space="preserve">Rémunération annuelle Indexée </t>
  </si>
  <si>
    <t>B1</t>
  </si>
  <si>
    <t>TPMS</t>
  </si>
  <si>
    <t>Rémunération annuelle non indexée</t>
  </si>
  <si>
    <t>Rémunération annuelle Indexée</t>
  </si>
  <si>
    <t>B2</t>
  </si>
  <si>
    <t>TPMS 
après 8 ans en B1</t>
  </si>
  <si>
    <t>Salaire mensuel indexé</t>
  </si>
  <si>
    <t>B3</t>
  </si>
  <si>
    <t>TPMS 
après 8 ans en B2</t>
  </si>
  <si>
    <t xml:space="preserve">Rémunération annuelle indéxée </t>
  </si>
  <si>
    <t>Subsides communaux / participations financières des communes</t>
  </si>
  <si>
    <t>forfait journalier</t>
  </si>
  <si>
    <t>forfait intégral mensuel (statutaire)</t>
  </si>
  <si>
    <t>forfait intégral mensuel 
(non statutaire)</t>
  </si>
  <si>
    <t xml:space="preserve">15 % du brut annuel des 2 ETP accueil compris dans les forfaits ONE </t>
  </si>
  <si>
    <t>Tarif 2024
(cat. 3) :</t>
  </si>
  <si>
    <t xml:space="preserve">Dplt dom-trav transports en commun </t>
  </si>
  <si>
    <t>barême</t>
  </si>
  <si>
    <t xml:space="preserve">Statutaire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</si>
</sst>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&quot; places&quot;"/>
    <numFmt numFmtId="165" formatCode="0.00&quot; ETP&quot;"/>
    <numFmt numFmtId="166" formatCode="#,##0.0000\ &quot;€&quot;"/>
    <numFmt numFmtId="167" formatCode="_ * #,##0.00_ ;_ * \-#,##0.00_ ;_ * &quot;-&quot;??_ ;_ @_ "/>
    <numFmt numFmtId="168" formatCode="_ * #,##0_ ;_ * \-#,##0_ ;_ * &quot;-&quot;??_ ;_ @_ "/>
    <numFmt numFmtId="169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i/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/>
      <right/>
      <top/>
      <bottom style="medium">
        <color rgb="FFFFC000"/>
      </bottom>
      <diagonal/>
    </border>
  </borders>
  <cellStyleXfs count="47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19" applyNumberFormat="0" applyAlignment="0" applyProtection="0"/>
    <xf numFmtId="0" fontId="22" fillId="15" borderId="20" applyNumberFormat="0" applyAlignment="0" applyProtection="0"/>
    <xf numFmtId="0" fontId="23" fillId="15" borderId="19" applyNumberFormat="0" applyAlignment="0" applyProtection="0"/>
    <xf numFmtId="0" fontId="24" fillId="0" borderId="21" applyNumberFormat="0" applyFill="0" applyAlignment="0" applyProtection="0"/>
    <xf numFmtId="0" fontId="12" fillId="16" borderId="22" applyNumberFormat="0" applyAlignment="0" applyProtection="0"/>
    <xf numFmtId="0" fontId="25" fillId="0" borderId="0" applyNumberFormat="0" applyFill="0" applyBorder="0" applyAlignment="0" applyProtection="0"/>
    <xf numFmtId="0" fontId="3" fillId="17" borderId="23" applyNumberFormat="0" applyFont="0" applyAlignment="0" applyProtection="0"/>
    <xf numFmtId="0" fontId="26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9" fontId="28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44" fontId="1" fillId="2" borderId="3" xfId="1" applyFont="1" applyFill="1" applyBorder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3" borderId="2" xfId="0" applyFont="1" applyFill="1" applyBorder="1" applyAlignment="1">
      <alignment vertical="center"/>
    </xf>
    <xf numFmtId="44" fontId="1" fillId="3" borderId="3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44" fontId="9" fillId="0" borderId="4" xfId="1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44" fontId="8" fillId="2" borderId="4" xfId="0" applyNumberFormat="1" applyFont="1" applyFill="1" applyBorder="1" applyAlignment="1">
      <alignment wrapText="1"/>
    </xf>
    <xf numFmtId="44" fontId="9" fillId="0" borderId="0" xfId="1" applyFont="1"/>
    <xf numFmtId="0" fontId="0" fillId="0" borderId="0" xfId="0" applyAlignment="1">
      <alignment wrapText="1"/>
    </xf>
    <xf numFmtId="0" fontId="0" fillId="2" borderId="5" xfId="0" applyFill="1" applyBorder="1"/>
    <xf numFmtId="0" fontId="0" fillId="2" borderId="3" xfId="0" applyFill="1" applyBorder="1"/>
    <xf numFmtId="0" fontId="0" fillId="3" borderId="5" xfId="0" applyFill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4" fontId="9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9" fillId="4" borderId="4" xfId="0" applyFont="1" applyFill="1" applyBorder="1" applyAlignment="1">
      <alignment wrapText="1"/>
    </xf>
    <xf numFmtId="9" fontId="9" fillId="4" borderId="0" xfId="0" applyNumberFormat="1" applyFont="1" applyFill="1"/>
    <xf numFmtId="44" fontId="0" fillId="2" borderId="3" xfId="1" applyFont="1" applyFill="1" applyBorder="1"/>
    <xf numFmtId="44" fontId="0" fillId="3" borderId="3" xfId="1" applyFont="1" applyFill="1" applyBorder="1"/>
    <xf numFmtId="0" fontId="0" fillId="4" borderId="4" xfId="0" applyFill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right" inden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44" fontId="9" fillId="0" borderId="4" xfId="1" applyFont="1" applyFill="1" applyBorder="1" applyAlignment="1">
      <alignment wrapText="1"/>
    </xf>
    <xf numFmtId="165" fontId="0" fillId="0" borderId="0" xfId="0" applyNumberFormat="1"/>
    <xf numFmtId="0" fontId="1" fillId="0" borderId="7" xfId="0" applyFont="1" applyBorder="1" applyAlignment="1">
      <alignment vertical="center"/>
    </xf>
    <xf numFmtId="0" fontId="9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4" fontId="2" fillId="4" borderId="0" xfId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/>
    <xf numFmtId="0" fontId="0" fillId="0" borderId="4" xfId="0" applyBorder="1"/>
    <xf numFmtId="44" fontId="0" fillId="0" borderId="4" xfId="1" applyFont="1" applyBorder="1"/>
    <xf numFmtId="0" fontId="0" fillId="5" borderId="4" xfId="0" applyFill="1" applyBorder="1"/>
    <xf numFmtId="44" fontId="0" fillId="5" borderId="4" xfId="1" applyFont="1" applyFill="1" applyBorder="1"/>
    <xf numFmtId="44" fontId="0" fillId="2" borderId="3" xfId="0" applyNumberFormat="1" applyFill="1" applyBorder="1"/>
    <xf numFmtId="0" fontId="9" fillId="0" borderId="4" xfId="0" applyFont="1" applyBorder="1" applyAlignment="1">
      <alignment wrapText="1"/>
    </xf>
    <xf numFmtId="0" fontId="12" fillId="10" borderId="2" xfId="0" applyFont="1" applyFill="1" applyBorder="1" applyAlignment="1">
      <alignment vertical="center"/>
    </xf>
    <xf numFmtId="0" fontId="12" fillId="10" borderId="5" xfId="0" applyFont="1" applyFill="1" applyBorder="1"/>
    <xf numFmtId="44" fontId="12" fillId="10" borderId="3" xfId="1" applyFont="1" applyFill="1" applyBorder="1"/>
    <xf numFmtId="9" fontId="9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/>
    <xf numFmtId="0" fontId="9" fillId="6" borderId="8" xfId="0" applyFont="1" applyFill="1" applyBorder="1"/>
    <xf numFmtId="0" fontId="9" fillId="7" borderId="0" xfId="0" applyFont="1" applyFill="1" applyAlignment="1">
      <alignment horizontal="left"/>
    </xf>
    <xf numFmtId="0" fontId="9" fillId="7" borderId="12" xfId="0" applyFont="1" applyFill="1" applyBorder="1"/>
    <xf numFmtId="0" fontId="9" fillId="4" borderId="1" xfId="0" applyFont="1" applyFill="1" applyBorder="1"/>
    <xf numFmtId="0" fontId="9" fillId="0" borderId="8" xfId="0" applyFont="1" applyBorder="1"/>
    <xf numFmtId="0" fontId="9" fillId="4" borderId="0" xfId="0" applyFont="1" applyFill="1"/>
    <xf numFmtId="0" fontId="9" fillId="0" borderId="12" xfId="0" applyFont="1" applyBorder="1"/>
    <xf numFmtId="0" fontId="9" fillId="4" borderId="10" xfId="0" applyFont="1" applyFill="1" applyBorder="1"/>
    <xf numFmtId="0" fontId="9" fillId="0" borderId="11" xfId="0" applyFont="1" applyBorder="1"/>
    <xf numFmtId="0" fontId="13" fillId="0" borderId="0" xfId="0" applyFont="1"/>
    <xf numFmtId="44" fontId="13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" fillId="4" borderId="14" xfId="0" applyFont="1" applyFill="1" applyBorder="1" applyAlignment="1">
      <alignment horizontal="left" vertical="center"/>
    </xf>
    <xf numFmtId="44" fontId="9" fillId="0" borderId="4" xfId="1" applyFont="1" applyBorder="1"/>
    <xf numFmtId="0" fontId="1" fillId="2" borderId="7" xfId="0" applyFont="1" applyFill="1" applyBorder="1" applyAlignment="1">
      <alignment vertical="center"/>
    </xf>
    <xf numFmtId="44" fontId="1" fillId="2" borderId="8" xfId="1" applyFont="1" applyFill="1" applyBorder="1" applyAlignment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44" fontId="2" fillId="4" borderId="4" xfId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1" fillId="3" borderId="5" xfId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4" xfId="0" applyFont="1" applyBorder="1"/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44" fontId="1" fillId="2" borderId="4" xfId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horizontal="right" vertical="center" wrapText="1"/>
      <protection locked="0"/>
    </xf>
    <xf numFmtId="44" fontId="9" fillId="4" borderId="4" xfId="1" applyFont="1" applyFill="1" applyBorder="1" applyAlignment="1">
      <alignment vertical="center"/>
    </xf>
    <xf numFmtId="0" fontId="31" fillId="0" borderId="4" xfId="0" applyFont="1" applyBorder="1" applyAlignment="1" applyProtection="1">
      <alignment horizontal="left" vertical="center"/>
      <protection locked="0"/>
    </xf>
    <xf numFmtId="44" fontId="8" fillId="0" borderId="4" xfId="1" applyFont="1" applyBorder="1" applyAlignment="1">
      <alignment vertical="center"/>
    </xf>
    <xf numFmtId="44" fontId="9" fillId="0" borderId="4" xfId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4" borderId="4" xfId="1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vertical="center" wrapText="1"/>
    </xf>
    <xf numFmtId="44" fontId="1" fillId="9" borderId="4" xfId="1" applyFont="1" applyFill="1" applyBorder="1"/>
    <xf numFmtId="0" fontId="1" fillId="9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9" fillId="0" borderId="4" xfId="0" applyFont="1" applyBorder="1" applyAlignment="1">
      <alignment horizontal="left" vertical="center"/>
    </xf>
    <xf numFmtId="0" fontId="9" fillId="0" borderId="4" xfId="1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6" fontId="9" fillId="0" borderId="0" xfId="0" applyNumberFormat="1" applyFont="1"/>
    <xf numFmtId="0" fontId="10" fillId="2" borderId="1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left" vertical="center"/>
    </xf>
    <xf numFmtId="0" fontId="9" fillId="0" borderId="27" xfId="0" applyFont="1" applyBorder="1"/>
    <xf numFmtId="44" fontId="9" fillId="4" borderId="4" xfId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7" borderId="4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8" fillId="2" borderId="4" xfId="0" applyFont="1" applyFill="1" applyBorder="1"/>
    <xf numFmtId="44" fontId="8" fillId="2" borderId="4" xfId="1" applyFont="1" applyFill="1" applyBorder="1"/>
    <xf numFmtId="0" fontId="8" fillId="2" borderId="4" xfId="0" applyFont="1" applyFill="1" applyBorder="1" applyAlignment="1">
      <alignment horizontal="center" vertical="center" wrapText="1"/>
    </xf>
    <xf numFmtId="44" fontId="9" fillId="2" borderId="4" xfId="0" applyNumberFormat="1" applyFont="1" applyFill="1" applyBorder="1" applyAlignment="1">
      <alignment wrapText="1"/>
    </xf>
    <xf numFmtId="0" fontId="9" fillId="2" borderId="4" xfId="0" applyFont="1" applyFill="1" applyBorder="1"/>
    <xf numFmtId="44" fontId="9" fillId="2" borderId="4" xfId="0" applyNumberFormat="1" applyFont="1" applyFill="1" applyBorder="1"/>
    <xf numFmtId="44" fontId="0" fillId="0" borderId="4" xfId="1" applyFont="1" applyFill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2" fillId="4" borderId="14" xfId="1" applyFont="1" applyFill="1" applyBorder="1" applyAlignment="1" applyProtection="1">
      <alignment vertical="center"/>
      <protection locked="0"/>
    </xf>
    <xf numFmtId="2" fontId="9" fillId="4" borderId="4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2" fontId="9" fillId="0" borderId="4" xfId="0" applyNumberFormat="1" applyFont="1" applyBorder="1"/>
    <xf numFmtId="2" fontId="9" fillId="0" borderId="14" xfId="0" applyNumberFormat="1" applyFont="1" applyBorder="1"/>
    <xf numFmtId="2" fontId="9" fillId="7" borderId="0" xfId="0" applyNumberFormat="1" applyFont="1" applyFill="1"/>
    <xf numFmtId="44" fontId="5" fillId="0" borderId="0" xfId="1" applyFont="1" applyFill="1" applyBorder="1"/>
    <xf numFmtId="0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0" fontId="9" fillId="4" borderId="15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4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9" fontId="9" fillId="0" borderId="4" xfId="2" applyFont="1" applyBorder="1"/>
    <xf numFmtId="9" fontId="9" fillId="0" borderId="4" xfId="2" applyFont="1" applyBorder="1" applyAlignment="1">
      <alignment horizontal="right"/>
    </xf>
    <xf numFmtId="44" fontId="1" fillId="0" borderId="3" xfId="1" applyFont="1" applyFill="1" applyBorder="1" applyAlignment="1">
      <alignment vertical="center"/>
    </xf>
    <xf numFmtId="0" fontId="9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44" fontId="1" fillId="0" borderId="4" xfId="1" applyFont="1" applyBorder="1" applyAlignment="1">
      <alignment horizontal="right"/>
    </xf>
    <xf numFmtId="44" fontId="1" fillId="0" borderId="4" xfId="1" applyFont="1" applyBorder="1"/>
    <xf numFmtId="44" fontId="1" fillId="0" borderId="0" xfId="1" applyFont="1" applyFill="1" applyBorder="1" applyAlignment="1">
      <alignment horizontal="center" vertical="center"/>
    </xf>
    <xf numFmtId="167" fontId="1" fillId="0" borderId="0" xfId="46" applyFont="1" applyAlignment="1">
      <alignment vertical="center"/>
    </xf>
    <xf numFmtId="167" fontId="1" fillId="0" borderId="0" xfId="46" applyFont="1" applyAlignment="1">
      <alignment vertical="center" wrapText="1"/>
    </xf>
    <xf numFmtId="167" fontId="32" fillId="0" borderId="0" xfId="46" applyFont="1" applyAlignment="1">
      <alignment horizontal="right" vertical="center"/>
    </xf>
    <xf numFmtId="0" fontId="32" fillId="0" borderId="0" xfId="46" applyNumberFormat="1" applyFont="1" applyAlignment="1">
      <alignment horizontal="left" vertical="center"/>
    </xf>
    <xf numFmtId="167" fontId="0" fillId="0" borderId="0" xfId="46" applyFont="1" applyAlignment="1">
      <alignment vertical="center"/>
    </xf>
    <xf numFmtId="168" fontId="1" fillId="0" borderId="0" xfId="46" applyNumberFormat="1" applyFont="1" applyAlignment="1">
      <alignment horizontal="center" vertical="center" wrapText="1"/>
    </xf>
    <xf numFmtId="167" fontId="1" fillId="0" borderId="0" xfId="46" applyFont="1" applyAlignment="1">
      <alignment horizontal="center" vertical="center" wrapText="1"/>
    </xf>
    <xf numFmtId="167" fontId="0" fillId="0" borderId="0" xfId="46" applyFont="1" applyAlignment="1">
      <alignment horizontal="center" vertical="center" wrapText="1"/>
    </xf>
    <xf numFmtId="168" fontId="0" fillId="0" borderId="0" xfId="46" applyNumberFormat="1" applyFont="1"/>
    <xf numFmtId="167" fontId="0" fillId="0" borderId="0" xfId="46" applyFont="1"/>
    <xf numFmtId="167" fontId="32" fillId="0" borderId="0" xfId="46" applyFont="1" applyAlignment="1">
      <alignment horizontal="right" vertical="center" wrapText="1"/>
    </xf>
    <xf numFmtId="0" fontId="32" fillId="0" borderId="0" xfId="46" applyNumberFormat="1" applyFont="1" applyAlignment="1">
      <alignment horizontal="left" vertical="center" wrapText="1"/>
    </xf>
    <xf numFmtId="167" fontId="0" fillId="0" borderId="0" xfId="46" applyFont="1" applyAlignment="1">
      <alignment vertical="center" wrapText="1"/>
    </xf>
    <xf numFmtId="0" fontId="8" fillId="4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7" fontId="1" fillId="6" borderId="0" xfId="46" applyFont="1" applyFill="1" applyAlignment="1">
      <alignment horizontal="center" vertical="center" wrapText="1"/>
    </xf>
    <xf numFmtId="0" fontId="0" fillId="42" borderId="0" xfId="0" applyFill="1" applyAlignment="1">
      <alignment wrapText="1"/>
    </xf>
    <xf numFmtId="169" fontId="5" fillId="5" borderId="0" xfId="0" applyNumberFormat="1" applyFont="1" applyFill="1" applyAlignment="1">
      <alignment horizontal="center" vertical="center"/>
    </xf>
    <xf numFmtId="2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5" fillId="0" borderId="0" xfId="46" applyNumberFormat="1" applyFont="1" applyAlignment="1">
      <alignment horizontal="center"/>
    </xf>
    <xf numFmtId="0" fontId="0" fillId="0" borderId="5" xfId="0" applyBorder="1" applyAlignment="1">
      <alignment wrapText="1"/>
    </xf>
    <xf numFmtId="44" fontId="0" fillId="0" borderId="5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/>
    </xf>
    <xf numFmtId="44" fontId="1" fillId="0" borderId="3" xfId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4" fontId="9" fillId="0" borderId="30" xfId="0" applyNumberFormat="1" applyFont="1" applyBorder="1" applyAlignment="1">
      <alignment horizontal="center"/>
    </xf>
    <xf numFmtId="44" fontId="9" fillId="0" borderId="28" xfId="0" applyNumberFormat="1" applyFont="1" applyBorder="1" applyAlignment="1">
      <alignment horizontal="center"/>
    </xf>
    <xf numFmtId="0" fontId="9" fillId="8" borderId="2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7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 2" xfId="46" xr:uid="{D05F5CD1-CC8B-425B-9282-F8173CB94905}"/>
    <cellStyle name="Monétaire" xfId="1" builtinId="4"/>
    <cellStyle name="Neutre" xfId="9" builtinId="28" customBuiltin="1"/>
    <cellStyle name="Normal" xfId="0" builtinId="0"/>
    <cellStyle name="Normal 2" xfId="43" xr:uid="{00000000-0005-0000-0000-000020000000}"/>
    <cellStyle name="Note" xfId="16" builtinId="10" customBuiltin="1"/>
    <cellStyle name="Pourcentage" xfId="2" builtinId="5"/>
    <cellStyle name="Pourcentage 2" xfId="45" xr:uid="{00000000-0005-0000-0000-000023000000}"/>
    <cellStyle name="Satisfaisant" xfId="7" builtinId="26" customBuiltin="1"/>
    <cellStyle name="Sortie" xfId="11" builtinId="21" customBuiltin="1"/>
    <cellStyle name="Texte explicatif" xfId="17" builtinId="53" customBuiltin="1"/>
    <cellStyle name="Titre 2" xfId="44" xr:uid="{00000000-0005-0000-0000-000027000000}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4">
    <dxf>
      <fill>
        <patternFill patternType="lightUp">
          <fgColor theme="0" tint="-0.24994659260841701"/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120960</xdr:colOff>
      <xdr:row>6</xdr:row>
      <xdr:rowOff>260047</xdr:rowOff>
    </xdr:from>
    <xdr:to>
      <xdr:col>0</xdr:col>
      <xdr:colOff>5161111</xdr:colOff>
      <xdr:row>6</xdr:row>
      <xdr:rowOff>2168047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479" t="18354" r="24151" b="67806"/>
        <a:stretch/>
      </xdr:blipFill>
      <xdr:spPr>
        <a:xfrm>
          <a:off x="120960" y="1651000"/>
          <a:ext cx="5259226" cy="19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</xdr:row>
      <xdr:rowOff>292706</xdr:rowOff>
    </xdr:from>
    <xdr:to>
      <xdr:col>1</xdr:col>
      <xdr:colOff>1057</xdr:colOff>
      <xdr:row>7</xdr:row>
      <xdr:rowOff>3582610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2571" t="18174" r="24477" b="57895"/>
        <a:stretch/>
      </xdr:blipFill>
      <xdr:spPr>
        <a:xfrm>
          <a:off x="127000" y="4018039"/>
          <a:ext cx="5122332" cy="3289904"/>
        </a:xfrm>
        <a:prstGeom prst="rect">
          <a:avLst/>
        </a:prstGeom>
      </xdr:spPr>
    </xdr:pic>
    <xdr:clientData/>
  </xdr:twoCellAnchor>
  <xdr:twoCellAnchor editAs="oneCell">
    <xdr:from>
      <xdr:col>0</xdr:col>
      <xdr:colOff>114906</xdr:colOff>
      <xdr:row>8</xdr:row>
      <xdr:rowOff>580572</xdr:rowOff>
    </xdr:from>
    <xdr:to>
      <xdr:col>0</xdr:col>
      <xdr:colOff>5161038</xdr:colOff>
      <xdr:row>8</xdr:row>
      <xdr:rowOff>2044096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2542" t="16143" r="24521" b="73343"/>
        <a:stretch/>
      </xdr:blipFill>
      <xdr:spPr>
        <a:xfrm>
          <a:off x="114906" y="8043333"/>
          <a:ext cx="5122332" cy="1463524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</xdr:colOff>
      <xdr:row>8</xdr:row>
      <xdr:rowOff>2146906</xdr:rowOff>
    </xdr:from>
    <xdr:to>
      <xdr:col>0</xdr:col>
      <xdr:colOff>5159470</xdr:colOff>
      <xdr:row>8</xdr:row>
      <xdr:rowOff>3580191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2411" t="15576" r="23963" b="73723"/>
        <a:stretch/>
      </xdr:blipFill>
      <xdr:spPr>
        <a:xfrm>
          <a:off x="72571" y="9609667"/>
          <a:ext cx="5191674" cy="14332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dile Lejoly" id="{439CBCDC-6099-4503-AAE4-81D63885BCEE}" userId="S::administration-finances-fsmi@viefeminine.be::c9ae868c-6347-4add-a8f6-3540b26ac6d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1" dT="2024-01-25T07:03:13.82" personId="{439CBCDC-6099-4503-AAE4-81D63885BCEE}" id="{660222F0-B4F5-4600-8E8C-61EC3F3FC3C2}">
    <text>Exemple : 
Maribel pour l'encadrement pour augmenter le temps d'encadrement au-delà du financement ONE
APE pour l'entretien ou le support admin 
Etc.</text>
  </threadedComment>
  <threadedComment ref="Q15" dT="2024-01-25T06:59:48.97" personId="{439CBCDC-6099-4503-AAE4-81D63885BCEE}" id="{AA33E663-0ACF-4422-B05E-75E725FACA87}">
    <text>Coût proratisé selon le temps en travail en raison du temps de travail supplémentaire affecté à d'autres missions dans le SAE.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4" dT="2024-01-25T07:22:27.93" personId="{439CBCDC-6099-4503-AAE4-81D63885BCEE}" id="{9C9B6455-3005-47FA-90FB-97D5F20A61B4}">
    <text xml:space="preserve">Amortissement en 5 ans 
% à adapter selon la durée de l'amortissement
</text>
  </threadedComment>
  <threadedComment ref="C15" dT="2024-01-25T07:22:47.52" personId="{439CBCDC-6099-4503-AAE4-81D63885BCEE}" id="{6FFE2AE3-40A5-4C76-8694-551B451F0D2C}">
    <text xml:space="preserve">Amortissement en 3 ans 
À adapter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77.42578125" customWidth="1"/>
  </cols>
  <sheetData>
    <row r="1" spans="1:1" s="29" customFormat="1" ht="29.45" customHeight="1" x14ac:dyDescent="0.25">
      <c r="A1" s="30" t="s">
        <v>252</v>
      </c>
    </row>
    <row r="2" spans="1:1" s="29" customFormat="1" ht="29.45" customHeight="1" x14ac:dyDescent="0.25">
      <c r="A2" s="28" t="s">
        <v>0</v>
      </c>
    </row>
    <row r="3" spans="1:1" s="31" customFormat="1" ht="22.35" customHeight="1" x14ac:dyDescent="0.25">
      <c r="A3" s="28" t="s">
        <v>1</v>
      </c>
    </row>
    <row r="4" spans="1:1" s="31" customFormat="1" ht="22.35" customHeight="1" x14ac:dyDescent="0.25">
      <c r="A4" s="31" t="s">
        <v>2</v>
      </c>
    </row>
    <row r="5" spans="1:1" s="31" customFormat="1" ht="22.35" customHeight="1" x14ac:dyDescent="0.25">
      <c r="A5" s="31" t="s">
        <v>3</v>
      </c>
    </row>
    <row r="6" spans="1:1" s="31" customFormat="1" x14ac:dyDescent="0.25">
      <c r="A6" s="31" t="s">
        <v>4</v>
      </c>
    </row>
    <row r="7" spans="1:1" ht="183.75" customHeight="1" x14ac:dyDescent="0.25">
      <c r="A7" s="31" t="s">
        <v>5</v>
      </c>
    </row>
    <row r="8" spans="1:1" ht="294.60000000000002" customHeight="1" x14ac:dyDescent="0.25">
      <c r="A8" s="31" t="s">
        <v>6</v>
      </c>
    </row>
    <row r="9" spans="1:1" ht="298.5" customHeight="1" x14ac:dyDescent="0.25">
      <c r="A9" s="31" t="s">
        <v>7</v>
      </c>
    </row>
    <row r="10" spans="1:1" x14ac:dyDescent="0.25">
      <c r="A10" s="3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05AB-2D3D-4D22-A832-71E8A40456F7}">
  <sheetPr>
    <tabColor theme="7" tint="0.79998168889431442"/>
  </sheetPr>
  <dimension ref="A1:L34"/>
  <sheetViews>
    <sheetView workbookViewId="0">
      <selection activeCell="M12" sqref="M12"/>
    </sheetView>
  </sheetViews>
  <sheetFormatPr baseColWidth="10" defaultColWidth="11.42578125" defaultRowHeight="15" x14ac:dyDescent="0.25"/>
  <cols>
    <col min="1" max="1" width="11.42578125" style="167"/>
    <col min="2" max="2" width="14.140625" style="168" customWidth="1"/>
    <col min="3" max="3" width="15.5703125" style="168" customWidth="1"/>
    <col min="4" max="4" width="16.28515625" style="168" customWidth="1"/>
    <col min="5" max="5" width="11.42578125" style="168"/>
    <col min="6" max="6" width="14.7109375" style="168" bestFit="1" customWidth="1"/>
    <col min="7" max="8" width="14.7109375" style="168" customWidth="1"/>
    <col min="9" max="9" width="27.7109375" style="168" bestFit="1" customWidth="1"/>
    <col min="10" max="10" width="17.85546875" style="168" customWidth="1"/>
    <col min="11" max="11" width="15.7109375" style="168" customWidth="1"/>
    <col min="12" max="12" width="17.85546875" style="168" customWidth="1"/>
    <col min="13" max="16384" width="11.42578125" style="168"/>
  </cols>
  <sheetData>
    <row r="1" spans="1:12" s="171" customFormat="1" ht="30.75" customHeight="1" x14ac:dyDescent="0.25">
      <c r="A1" s="160" t="s">
        <v>285</v>
      </c>
      <c r="B1" s="160" t="s">
        <v>286</v>
      </c>
      <c r="C1" s="169" t="s">
        <v>276</v>
      </c>
      <c r="D1" s="170">
        <v>2.0398999999999998</v>
      </c>
    </row>
    <row r="2" spans="1:12" s="166" customFormat="1" ht="60" x14ac:dyDescent="0.25">
      <c r="A2" s="164" t="s">
        <v>142</v>
      </c>
      <c r="B2" s="165" t="s">
        <v>277</v>
      </c>
      <c r="C2" s="165" t="s">
        <v>287</v>
      </c>
      <c r="D2" s="165" t="s">
        <v>279</v>
      </c>
      <c r="E2" s="165" t="s">
        <v>148</v>
      </c>
      <c r="F2" s="165" t="s">
        <v>280</v>
      </c>
      <c r="G2" s="165" t="s">
        <v>281</v>
      </c>
      <c r="H2" s="165" t="s">
        <v>282</v>
      </c>
      <c r="I2" s="165" t="s">
        <v>283</v>
      </c>
      <c r="J2" s="165" t="s">
        <v>284</v>
      </c>
      <c r="K2" s="174" t="s">
        <v>300</v>
      </c>
      <c r="L2" s="174" t="s">
        <v>301</v>
      </c>
    </row>
    <row r="3" spans="1:12" x14ac:dyDescent="0.25">
      <c r="A3" s="167">
        <v>0</v>
      </c>
      <c r="B3" s="168">
        <v>15022.36</v>
      </c>
      <c r="C3" s="168">
        <f>B3*$D$1</f>
        <v>30644.112163999998</v>
      </c>
      <c r="D3" s="168">
        <f>C3/12</f>
        <v>2553.6760136666667</v>
      </c>
      <c r="E3" s="168">
        <f>(886.77+(0.025*C3))</f>
        <v>1652.8728040999999</v>
      </c>
      <c r="F3" s="168">
        <f>(C3/12)*92%</f>
        <v>2349.3819325733334</v>
      </c>
      <c r="G3" s="168">
        <f>(C3+E3)*28.87%</f>
        <v>9324.1395602904704</v>
      </c>
      <c r="H3" s="168">
        <f>C3*15%</f>
        <v>4596.6168245999997</v>
      </c>
      <c r="I3" s="168">
        <f>C3+E3+F3+H3</f>
        <v>39242.983725273334</v>
      </c>
      <c r="J3" s="168">
        <f>G3+I3</f>
        <v>48567.123285563808</v>
      </c>
      <c r="K3" s="168">
        <v>4670.0200000000004</v>
      </c>
      <c r="L3" s="168">
        <v>3990.38</v>
      </c>
    </row>
    <row r="4" spans="1:12" x14ac:dyDescent="0.25">
      <c r="A4" s="167">
        <f>A3+1</f>
        <v>1</v>
      </c>
      <c r="B4" s="168">
        <v>15272.74</v>
      </c>
      <c r="C4" s="168">
        <f t="shared" ref="C4:C28" si="0">B4*$D$1</f>
        <v>31154.862325999999</v>
      </c>
      <c r="D4" s="168">
        <f t="shared" ref="D4:D28" si="1">C4/12</f>
        <v>2596.2385271666667</v>
      </c>
      <c r="E4" s="168">
        <f t="shared" ref="E4:E28" si="2">(886.77+(0.025*C4))</f>
        <v>1665.64155815</v>
      </c>
      <c r="F4" s="168">
        <f t="shared" ref="F4:F28" si="3">(C4/12)*92%</f>
        <v>2388.5394449933333</v>
      </c>
      <c r="G4" s="168">
        <f t="shared" ref="G4:G28" si="4">(C4+E4)*28.87%</f>
        <v>9475.2794713541043</v>
      </c>
      <c r="H4" s="168">
        <f t="shared" ref="H4:H28" si="5">C4*15%</f>
        <v>4673.2293488999994</v>
      </c>
      <c r="I4" s="168">
        <f t="shared" ref="I4:I28" si="6">C4+E4+F4+H4</f>
        <v>39882.27267804333</v>
      </c>
      <c r="J4" s="168">
        <f t="shared" ref="J4:J28" si="7">G4+I4</f>
        <v>49357.552149397437</v>
      </c>
      <c r="K4" s="168">
        <v>4995.8500000000004</v>
      </c>
      <c r="L4" s="168">
        <v>4267.6099999999997</v>
      </c>
    </row>
    <row r="5" spans="1:12" x14ac:dyDescent="0.25">
      <c r="A5" s="167">
        <f t="shared" ref="A5:A34" si="8">A4+1</f>
        <v>2</v>
      </c>
      <c r="B5" s="168">
        <v>15523.12</v>
      </c>
      <c r="C5" s="168">
        <f t="shared" si="0"/>
        <v>31665.612487999999</v>
      </c>
      <c r="D5" s="168">
        <f t="shared" si="1"/>
        <v>2638.8010406666667</v>
      </c>
      <c r="E5" s="168">
        <f t="shared" si="2"/>
        <v>1678.4103122000001</v>
      </c>
      <c r="F5" s="168">
        <f t="shared" si="3"/>
        <v>2427.6969574133336</v>
      </c>
      <c r="G5" s="168">
        <f t="shared" si="4"/>
        <v>9626.4193824177401</v>
      </c>
      <c r="H5" s="168">
        <f t="shared" si="5"/>
        <v>4749.8418732</v>
      </c>
      <c r="I5" s="168">
        <f t="shared" si="6"/>
        <v>40521.561630813332</v>
      </c>
      <c r="J5" s="168">
        <f t="shared" si="7"/>
        <v>50147.981013231074</v>
      </c>
      <c r="K5" s="168">
        <v>5040.1099999999997</v>
      </c>
      <c r="L5" s="168">
        <v>4305.26</v>
      </c>
    </row>
    <row r="6" spans="1:12" x14ac:dyDescent="0.25">
      <c r="A6" s="167">
        <f t="shared" si="8"/>
        <v>3</v>
      </c>
      <c r="B6" s="168">
        <v>15773.5</v>
      </c>
      <c r="C6" s="168">
        <f t="shared" si="0"/>
        <v>32176.362649999995</v>
      </c>
      <c r="D6" s="168">
        <f t="shared" si="1"/>
        <v>2681.3635541666663</v>
      </c>
      <c r="E6" s="168">
        <f t="shared" si="2"/>
        <v>1691.1790662499998</v>
      </c>
      <c r="F6" s="168">
        <f t="shared" si="3"/>
        <v>2466.854469833333</v>
      </c>
      <c r="G6" s="168">
        <f t="shared" si="4"/>
        <v>9777.559293481374</v>
      </c>
      <c r="H6" s="168">
        <f t="shared" si="5"/>
        <v>4826.4543974999988</v>
      </c>
      <c r="I6" s="168">
        <f t="shared" si="6"/>
        <v>41160.850583583328</v>
      </c>
      <c r="J6" s="168">
        <f t="shared" si="7"/>
        <v>50938.409877064703</v>
      </c>
      <c r="K6" s="168">
        <v>5084.3599999999997</v>
      </c>
      <c r="L6" s="168">
        <v>4342.91</v>
      </c>
    </row>
    <row r="7" spans="1:12" x14ac:dyDescent="0.25">
      <c r="A7" s="167">
        <f t="shared" si="8"/>
        <v>4</v>
      </c>
      <c r="B7" s="168">
        <v>16023.88</v>
      </c>
      <c r="C7" s="168">
        <f t="shared" si="0"/>
        <v>32687.112811999996</v>
      </c>
      <c r="D7" s="168">
        <f t="shared" si="1"/>
        <v>2723.9260676666663</v>
      </c>
      <c r="E7" s="168">
        <f t="shared" si="2"/>
        <v>1703.9478202999999</v>
      </c>
      <c r="F7" s="168">
        <f t="shared" si="3"/>
        <v>2506.0119822533329</v>
      </c>
      <c r="G7" s="168">
        <f t="shared" si="4"/>
        <v>9928.6992045450097</v>
      </c>
      <c r="H7" s="168">
        <f t="shared" si="5"/>
        <v>4903.0669217999994</v>
      </c>
      <c r="I7" s="168">
        <f t="shared" si="6"/>
        <v>41800.139536353323</v>
      </c>
      <c r="J7" s="168">
        <f t="shared" si="7"/>
        <v>51728.838740898333</v>
      </c>
      <c r="K7" s="168">
        <v>5128.62</v>
      </c>
      <c r="L7" s="168">
        <v>4380.5600000000004</v>
      </c>
    </row>
    <row r="8" spans="1:12" x14ac:dyDescent="0.25">
      <c r="A8" s="167">
        <f t="shared" si="8"/>
        <v>5</v>
      </c>
      <c r="B8" s="168">
        <v>16274.26</v>
      </c>
      <c r="C8" s="168">
        <f t="shared" si="0"/>
        <v>33197.862973999996</v>
      </c>
      <c r="D8" s="168">
        <f t="shared" si="1"/>
        <v>2766.4885811666663</v>
      </c>
      <c r="E8" s="168">
        <f t="shared" si="2"/>
        <v>1716.71657435</v>
      </c>
      <c r="F8" s="168">
        <f t="shared" si="3"/>
        <v>2545.1694946733332</v>
      </c>
      <c r="G8" s="168">
        <f t="shared" si="4"/>
        <v>10079.839115608644</v>
      </c>
      <c r="H8" s="168">
        <f t="shared" si="5"/>
        <v>4979.679446099999</v>
      </c>
      <c r="I8" s="168">
        <f t="shared" si="6"/>
        <v>42439.428489123326</v>
      </c>
      <c r="J8" s="168">
        <f t="shared" si="7"/>
        <v>52519.267604731969</v>
      </c>
      <c r="K8" s="168">
        <v>5172.88</v>
      </c>
      <c r="L8" s="168">
        <v>4418.2299999999996</v>
      </c>
    </row>
    <row r="9" spans="1:12" x14ac:dyDescent="0.25">
      <c r="A9" s="167">
        <f t="shared" si="8"/>
        <v>6</v>
      </c>
      <c r="B9" s="168">
        <v>16524.64</v>
      </c>
      <c r="C9" s="168">
        <f t="shared" si="0"/>
        <v>33708.613135999993</v>
      </c>
      <c r="D9" s="168">
        <f t="shared" si="1"/>
        <v>2809.0510946666659</v>
      </c>
      <c r="E9" s="168">
        <f t="shared" si="2"/>
        <v>1729.4853283999998</v>
      </c>
      <c r="F9" s="168">
        <f t="shared" si="3"/>
        <v>2584.3270070933327</v>
      </c>
      <c r="G9" s="168">
        <f t="shared" si="4"/>
        <v>10230.979026672278</v>
      </c>
      <c r="H9" s="168">
        <f t="shared" si="5"/>
        <v>5056.2919703999987</v>
      </c>
      <c r="I9" s="168">
        <f t="shared" si="6"/>
        <v>43078.717441893328</v>
      </c>
      <c r="J9" s="168">
        <f t="shared" si="7"/>
        <v>53309.696468565606</v>
      </c>
      <c r="K9" s="168">
        <v>5217.1400000000003</v>
      </c>
      <c r="L9" s="168">
        <v>4455.88</v>
      </c>
    </row>
    <row r="10" spans="1:12" x14ac:dyDescent="0.25">
      <c r="A10" s="167">
        <f t="shared" si="8"/>
        <v>7</v>
      </c>
      <c r="B10" s="168">
        <v>16775.02</v>
      </c>
      <c r="C10" s="168">
        <f t="shared" si="0"/>
        <v>34219.363297999997</v>
      </c>
      <c r="D10" s="168">
        <f t="shared" si="1"/>
        <v>2851.6136081666664</v>
      </c>
      <c r="E10" s="168">
        <f t="shared" si="2"/>
        <v>1742.2540824499999</v>
      </c>
      <c r="F10" s="168">
        <f t="shared" si="3"/>
        <v>2623.484519513333</v>
      </c>
      <c r="G10" s="168">
        <f t="shared" si="4"/>
        <v>10382.118937735915</v>
      </c>
      <c r="H10" s="168">
        <f t="shared" si="5"/>
        <v>5132.9044946999993</v>
      </c>
      <c r="I10" s="168">
        <f t="shared" si="6"/>
        <v>43718.006394663331</v>
      </c>
      <c r="J10" s="168">
        <f t="shared" si="7"/>
        <v>54100.125332399242</v>
      </c>
      <c r="K10" s="168">
        <v>5261.4</v>
      </c>
      <c r="L10" s="168">
        <v>4493.54</v>
      </c>
    </row>
    <row r="11" spans="1:12" x14ac:dyDescent="0.25">
      <c r="A11" s="167">
        <f t="shared" si="8"/>
        <v>8</v>
      </c>
      <c r="B11" s="168">
        <v>17025.400000000001</v>
      </c>
      <c r="C11" s="168">
        <f t="shared" si="0"/>
        <v>34730.11346</v>
      </c>
      <c r="D11" s="168">
        <f t="shared" si="1"/>
        <v>2894.1761216666669</v>
      </c>
      <c r="E11" s="168">
        <f t="shared" si="2"/>
        <v>1755.0228365</v>
      </c>
      <c r="F11" s="168">
        <f t="shared" si="3"/>
        <v>2662.6420319333338</v>
      </c>
      <c r="G11" s="168">
        <f t="shared" si="4"/>
        <v>10533.258848799551</v>
      </c>
      <c r="H11" s="168">
        <f t="shared" si="5"/>
        <v>5209.5170189999999</v>
      </c>
      <c r="I11" s="168">
        <f t="shared" si="6"/>
        <v>44357.295347433334</v>
      </c>
      <c r="J11" s="168">
        <f t="shared" si="7"/>
        <v>54890.554196232886</v>
      </c>
      <c r="K11" s="168">
        <v>5305.66</v>
      </c>
      <c r="L11" s="168">
        <v>4531.1899999999996</v>
      </c>
    </row>
    <row r="12" spans="1:12" x14ac:dyDescent="0.25">
      <c r="A12" s="167">
        <f t="shared" si="8"/>
        <v>9</v>
      </c>
      <c r="B12" s="168">
        <v>17275.78</v>
      </c>
      <c r="C12" s="168">
        <f t="shared" si="0"/>
        <v>35240.863621999997</v>
      </c>
      <c r="D12" s="168">
        <f t="shared" si="1"/>
        <v>2936.7386351666664</v>
      </c>
      <c r="E12" s="168">
        <f t="shared" si="2"/>
        <v>1767.7915905499999</v>
      </c>
      <c r="F12" s="168">
        <f t="shared" si="3"/>
        <v>2701.7995443533332</v>
      </c>
      <c r="G12" s="168">
        <f t="shared" si="4"/>
        <v>10684.398759863185</v>
      </c>
      <c r="H12" s="168">
        <f t="shared" si="5"/>
        <v>5286.1295432999996</v>
      </c>
      <c r="I12" s="168">
        <f t="shared" si="6"/>
        <v>44996.584300203329</v>
      </c>
      <c r="J12" s="168">
        <f t="shared" si="7"/>
        <v>55680.983060066515</v>
      </c>
      <c r="K12" s="168">
        <v>5349.94</v>
      </c>
      <c r="L12" s="168">
        <v>4568.8599999999997</v>
      </c>
    </row>
    <row r="13" spans="1:12" x14ac:dyDescent="0.25">
      <c r="A13" s="167">
        <f t="shared" si="8"/>
        <v>10</v>
      </c>
      <c r="B13" s="168">
        <v>17688.900000000001</v>
      </c>
      <c r="C13" s="168">
        <f t="shared" si="0"/>
        <v>36083.58711</v>
      </c>
      <c r="D13" s="168">
        <f t="shared" si="1"/>
        <v>3006.9655925000002</v>
      </c>
      <c r="E13" s="168">
        <f t="shared" si="2"/>
        <v>1788.8596777500002</v>
      </c>
      <c r="F13" s="168">
        <f t="shared" si="3"/>
        <v>2766.4083451000001</v>
      </c>
      <c r="G13" s="168">
        <f t="shared" si="4"/>
        <v>10933.775387623426</v>
      </c>
      <c r="H13" s="168">
        <f t="shared" si="5"/>
        <v>5412.5380665000002</v>
      </c>
      <c r="I13" s="168">
        <f t="shared" si="6"/>
        <v>46051.393199349994</v>
      </c>
      <c r="J13" s="168">
        <f t="shared" si="7"/>
        <v>56985.168586973421</v>
      </c>
      <c r="K13" s="168">
        <v>5523.6</v>
      </c>
      <c r="L13" s="168">
        <v>4716.6099999999997</v>
      </c>
    </row>
    <row r="14" spans="1:12" x14ac:dyDescent="0.25">
      <c r="A14" s="167">
        <f t="shared" si="8"/>
        <v>11</v>
      </c>
      <c r="B14" s="168">
        <v>18102.02</v>
      </c>
      <c r="C14" s="168">
        <f t="shared" si="0"/>
        <v>36926.310597999996</v>
      </c>
      <c r="D14" s="168">
        <f t="shared" si="1"/>
        <v>3077.192549833333</v>
      </c>
      <c r="E14" s="168">
        <f t="shared" si="2"/>
        <v>1809.92776495</v>
      </c>
      <c r="F14" s="168">
        <f t="shared" si="3"/>
        <v>2831.0171458466666</v>
      </c>
      <c r="G14" s="168">
        <f t="shared" si="4"/>
        <v>11183.152015383665</v>
      </c>
      <c r="H14" s="168">
        <f t="shared" si="5"/>
        <v>5538.9465896999991</v>
      </c>
      <c r="I14" s="168">
        <f t="shared" si="6"/>
        <v>47106.202098496658</v>
      </c>
      <c r="J14" s="168">
        <f t="shared" si="7"/>
        <v>58289.354113880327</v>
      </c>
      <c r="K14" s="168">
        <v>5576.67</v>
      </c>
      <c r="L14" s="168">
        <v>4761.7700000000004</v>
      </c>
    </row>
    <row r="15" spans="1:12" x14ac:dyDescent="0.25">
      <c r="A15" s="167">
        <f t="shared" si="8"/>
        <v>12</v>
      </c>
      <c r="B15" s="168">
        <v>18515.14</v>
      </c>
      <c r="C15" s="168">
        <f t="shared" si="0"/>
        <v>37769.034085999992</v>
      </c>
      <c r="D15" s="168">
        <f t="shared" si="1"/>
        <v>3147.4195071666659</v>
      </c>
      <c r="E15" s="168">
        <f t="shared" si="2"/>
        <v>1830.9958521499998</v>
      </c>
      <c r="F15" s="168">
        <f t="shared" si="3"/>
        <v>2895.6259465933326</v>
      </c>
      <c r="G15" s="168">
        <f t="shared" si="4"/>
        <v>11432.528643143904</v>
      </c>
      <c r="H15" s="168">
        <f t="shared" si="5"/>
        <v>5665.3551128999989</v>
      </c>
      <c r="I15" s="168">
        <f t="shared" si="6"/>
        <v>48161.010997643323</v>
      </c>
      <c r="J15" s="168">
        <f t="shared" si="7"/>
        <v>59593.539640787225</v>
      </c>
      <c r="K15" s="168">
        <v>5629.77</v>
      </c>
      <c r="L15" s="168">
        <v>4806.95</v>
      </c>
    </row>
    <row r="16" spans="1:12" x14ac:dyDescent="0.25">
      <c r="A16" s="167">
        <f t="shared" si="8"/>
        <v>13</v>
      </c>
      <c r="B16" s="168">
        <v>18928.259999999998</v>
      </c>
      <c r="C16" s="168">
        <f t="shared" si="0"/>
        <v>38611.757573999996</v>
      </c>
      <c r="D16" s="168">
        <f t="shared" si="1"/>
        <v>3217.6464644999996</v>
      </c>
      <c r="E16" s="168">
        <f t="shared" si="2"/>
        <v>1852.0639393500001</v>
      </c>
      <c r="F16" s="168">
        <f t="shared" si="3"/>
        <v>2960.23474734</v>
      </c>
      <c r="G16" s="168">
        <f t="shared" si="4"/>
        <v>11681.905270904144</v>
      </c>
      <c r="H16" s="168">
        <f t="shared" si="5"/>
        <v>5791.7636360999995</v>
      </c>
      <c r="I16" s="168">
        <f t="shared" si="6"/>
        <v>49215.819896789995</v>
      </c>
      <c r="J16" s="168">
        <f t="shared" si="7"/>
        <v>60897.725167694138</v>
      </c>
      <c r="K16" s="168">
        <v>5682.85</v>
      </c>
      <c r="L16" s="168">
        <v>4852.1000000000004</v>
      </c>
    </row>
    <row r="17" spans="1:12" x14ac:dyDescent="0.25">
      <c r="A17" s="167">
        <f t="shared" si="8"/>
        <v>14</v>
      </c>
      <c r="B17" s="168">
        <v>19053.45</v>
      </c>
      <c r="C17" s="168">
        <f t="shared" si="0"/>
        <v>38867.132655000001</v>
      </c>
      <c r="D17" s="168">
        <f t="shared" si="1"/>
        <v>3238.9277212500001</v>
      </c>
      <c r="E17" s="168">
        <f t="shared" si="2"/>
        <v>1858.4483163750001</v>
      </c>
      <c r="F17" s="168">
        <f t="shared" si="3"/>
        <v>2979.8135035500004</v>
      </c>
      <c r="G17" s="168">
        <f t="shared" si="4"/>
        <v>11757.475226435963</v>
      </c>
      <c r="H17" s="168">
        <f t="shared" si="5"/>
        <v>5830.0698982499998</v>
      </c>
      <c r="I17" s="168">
        <f t="shared" si="6"/>
        <v>49535.464373174997</v>
      </c>
      <c r="J17" s="168">
        <f t="shared" si="7"/>
        <v>61292.93959961096</v>
      </c>
      <c r="K17" s="168">
        <v>5735.95</v>
      </c>
      <c r="L17" s="168">
        <v>4897.28</v>
      </c>
    </row>
    <row r="18" spans="1:12" x14ac:dyDescent="0.25">
      <c r="A18" s="167">
        <f t="shared" si="8"/>
        <v>15</v>
      </c>
      <c r="B18" s="168">
        <v>19178.64</v>
      </c>
      <c r="C18" s="168">
        <f t="shared" si="0"/>
        <v>39122.507735999992</v>
      </c>
      <c r="D18" s="168">
        <f t="shared" si="1"/>
        <v>3260.2089779999992</v>
      </c>
      <c r="E18" s="168">
        <f t="shared" si="2"/>
        <v>1864.8326933999997</v>
      </c>
      <c r="F18" s="168">
        <f t="shared" si="3"/>
        <v>2999.3922597599994</v>
      </c>
      <c r="G18" s="168">
        <f t="shared" si="4"/>
        <v>11833.045181967778</v>
      </c>
      <c r="H18" s="168">
        <f t="shared" si="5"/>
        <v>5868.3761603999983</v>
      </c>
      <c r="I18" s="168">
        <f t="shared" si="6"/>
        <v>49855.108849559991</v>
      </c>
      <c r="J18" s="168">
        <f t="shared" si="7"/>
        <v>61688.154031527767</v>
      </c>
      <c r="K18" s="168">
        <v>5789.04</v>
      </c>
      <c r="L18" s="168">
        <v>4942.45</v>
      </c>
    </row>
    <row r="19" spans="1:12" x14ac:dyDescent="0.25">
      <c r="A19" s="167">
        <f t="shared" si="8"/>
        <v>16</v>
      </c>
      <c r="B19" s="168">
        <v>19303.830000000002</v>
      </c>
      <c r="C19" s="168">
        <f t="shared" si="0"/>
        <v>39377.882816999998</v>
      </c>
      <c r="D19" s="168">
        <f t="shared" si="1"/>
        <v>3281.4902347499997</v>
      </c>
      <c r="E19" s="168">
        <f t="shared" si="2"/>
        <v>1871.217070425</v>
      </c>
      <c r="F19" s="168">
        <f t="shared" si="3"/>
        <v>3018.9710159699998</v>
      </c>
      <c r="G19" s="168">
        <f t="shared" si="4"/>
        <v>11908.615137499599</v>
      </c>
      <c r="H19" s="168">
        <f t="shared" si="5"/>
        <v>5906.6824225499995</v>
      </c>
      <c r="I19" s="168">
        <f t="shared" si="6"/>
        <v>50174.753325944999</v>
      </c>
      <c r="J19" s="168">
        <f t="shared" si="7"/>
        <v>62083.368463444596</v>
      </c>
      <c r="K19" s="168">
        <v>5842.13</v>
      </c>
      <c r="L19" s="168">
        <v>4987.62</v>
      </c>
    </row>
    <row r="20" spans="1:12" x14ac:dyDescent="0.25">
      <c r="A20" s="167">
        <f>A19+1</f>
        <v>17</v>
      </c>
      <c r="B20" s="168">
        <v>19429.02</v>
      </c>
      <c r="C20" s="168">
        <f t="shared" si="0"/>
        <v>39633.257897999996</v>
      </c>
      <c r="D20" s="168">
        <f t="shared" si="1"/>
        <v>3302.7714914999997</v>
      </c>
      <c r="E20" s="168">
        <f t="shared" si="2"/>
        <v>1877.6014474499998</v>
      </c>
      <c r="F20" s="168">
        <f t="shared" si="3"/>
        <v>3038.5497721799998</v>
      </c>
      <c r="G20" s="168">
        <f t="shared" si="4"/>
        <v>11984.185093031414</v>
      </c>
      <c r="H20" s="168">
        <f t="shared" si="5"/>
        <v>5944.9886846999989</v>
      </c>
      <c r="I20" s="168">
        <f t="shared" si="6"/>
        <v>50494.397802329993</v>
      </c>
      <c r="J20" s="168">
        <f t="shared" si="7"/>
        <v>62478.582895361411</v>
      </c>
      <c r="K20" s="168">
        <v>5895.23</v>
      </c>
      <c r="L20" s="168">
        <v>5032.8</v>
      </c>
    </row>
    <row r="21" spans="1:12" x14ac:dyDescent="0.25">
      <c r="A21" s="167">
        <f t="shared" si="8"/>
        <v>18</v>
      </c>
      <c r="B21" s="168">
        <v>19554.21</v>
      </c>
      <c r="C21" s="168">
        <f t="shared" si="0"/>
        <v>39888.632978999995</v>
      </c>
      <c r="D21" s="168">
        <f t="shared" si="1"/>
        <v>3324.0527482499997</v>
      </c>
      <c r="E21" s="168">
        <f t="shared" si="2"/>
        <v>1883.9858244749998</v>
      </c>
      <c r="F21" s="168">
        <f t="shared" si="3"/>
        <v>3058.1285283899997</v>
      </c>
      <c r="G21" s="168">
        <f t="shared" si="4"/>
        <v>12059.755048563231</v>
      </c>
      <c r="H21" s="168">
        <f t="shared" si="5"/>
        <v>5983.2949468499992</v>
      </c>
      <c r="I21" s="168">
        <f t="shared" si="6"/>
        <v>50814.042278714995</v>
      </c>
      <c r="J21" s="168">
        <f t="shared" si="7"/>
        <v>62873.797327278226</v>
      </c>
      <c r="K21" s="168">
        <v>5948.3</v>
      </c>
      <c r="L21" s="168">
        <v>5077.96</v>
      </c>
    </row>
    <row r="22" spans="1:12" x14ac:dyDescent="0.25">
      <c r="A22" s="167">
        <f t="shared" si="8"/>
        <v>19</v>
      </c>
      <c r="B22" s="168">
        <v>19679.400000000001</v>
      </c>
      <c r="C22" s="168">
        <f t="shared" si="0"/>
        <v>40144.00806</v>
      </c>
      <c r="D22" s="168">
        <f t="shared" si="1"/>
        <v>3345.3340050000002</v>
      </c>
      <c r="E22" s="168">
        <f t="shared" si="2"/>
        <v>1890.3702014999999</v>
      </c>
      <c r="F22" s="168">
        <f t="shared" si="3"/>
        <v>3077.7072846000001</v>
      </c>
      <c r="G22" s="168">
        <f t="shared" si="4"/>
        <v>12135.325004095052</v>
      </c>
      <c r="H22" s="168">
        <f t="shared" si="5"/>
        <v>6021.6012089999995</v>
      </c>
      <c r="I22" s="168">
        <f t="shared" si="6"/>
        <v>51133.686755100003</v>
      </c>
      <c r="J22" s="168">
        <f t="shared" si="7"/>
        <v>63269.011759195055</v>
      </c>
      <c r="K22" s="168">
        <v>6001.41</v>
      </c>
      <c r="L22" s="168">
        <v>5123.1400000000003</v>
      </c>
    </row>
    <row r="23" spans="1:12" x14ac:dyDescent="0.25">
      <c r="A23" s="167">
        <f t="shared" si="8"/>
        <v>20</v>
      </c>
      <c r="B23" s="168">
        <v>19804.59</v>
      </c>
      <c r="C23" s="168">
        <f t="shared" si="0"/>
        <v>40399.383140999998</v>
      </c>
      <c r="D23" s="168">
        <f t="shared" si="1"/>
        <v>3366.6152617499997</v>
      </c>
      <c r="E23" s="168">
        <f t="shared" si="2"/>
        <v>1896.7545785249999</v>
      </c>
      <c r="F23" s="168">
        <f t="shared" si="3"/>
        <v>3097.28604081</v>
      </c>
      <c r="G23" s="168">
        <f t="shared" si="4"/>
        <v>12210.894959626867</v>
      </c>
      <c r="H23" s="168">
        <f t="shared" si="5"/>
        <v>6059.9074711499998</v>
      </c>
      <c r="I23" s="168">
        <f t="shared" si="6"/>
        <v>51453.331231484997</v>
      </c>
      <c r="J23" s="168">
        <f t="shared" si="7"/>
        <v>63664.226191111862</v>
      </c>
      <c r="K23" s="168">
        <v>6054.48</v>
      </c>
      <c r="L23" s="168">
        <v>5168.3</v>
      </c>
    </row>
    <row r="24" spans="1:12" x14ac:dyDescent="0.25">
      <c r="A24" s="167">
        <f t="shared" si="8"/>
        <v>21</v>
      </c>
      <c r="B24" s="168">
        <v>19929.78</v>
      </c>
      <c r="C24" s="168">
        <f t="shared" si="0"/>
        <v>40654.758221999997</v>
      </c>
      <c r="D24" s="168">
        <f t="shared" si="1"/>
        <v>3387.8965184999997</v>
      </c>
      <c r="E24" s="168">
        <f t="shared" si="2"/>
        <v>1903.13895555</v>
      </c>
      <c r="F24" s="168">
        <f t="shared" si="3"/>
        <v>3116.86479702</v>
      </c>
      <c r="G24" s="168">
        <f t="shared" si="4"/>
        <v>12286.464915158684</v>
      </c>
      <c r="H24" s="168">
        <f t="shared" si="5"/>
        <v>6098.2137332999991</v>
      </c>
      <c r="I24" s="168">
        <f t="shared" si="6"/>
        <v>51772.975707869991</v>
      </c>
      <c r="J24" s="168">
        <f t="shared" si="7"/>
        <v>64059.440623028677</v>
      </c>
      <c r="K24" s="168">
        <v>6107.59</v>
      </c>
      <c r="L24" s="168">
        <v>5213.47</v>
      </c>
    </row>
    <row r="25" spans="1:12" x14ac:dyDescent="0.25">
      <c r="A25" s="167">
        <f t="shared" si="8"/>
        <v>22</v>
      </c>
      <c r="B25" s="168">
        <v>20054.97</v>
      </c>
      <c r="C25" s="168">
        <f t="shared" si="0"/>
        <v>40910.133303000002</v>
      </c>
      <c r="D25" s="168">
        <f t="shared" si="1"/>
        <v>3409.1777752500002</v>
      </c>
      <c r="E25" s="168">
        <f t="shared" si="2"/>
        <v>1909.523332575</v>
      </c>
      <c r="F25" s="168">
        <f t="shared" si="3"/>
        <v>3136.4435532300004</v>
      </c>
      <c r="G25" s="168">
        <f t="shared" si="4"/>
        <v>12362.034870690504</v>
      </c>
      <c r="H25" s="168">
        <f t="shared" si="5"/>
        <v>6136.5199954500004</v>
      </c>
      <c r="I25" s="168">
        <f t="shared" si="6"/>
        <v>52092.620184255</v>
      </c>
      <c r="J25" s="168">
        <f t="shared" si="7"/>
        <v>64454.655054945506</v>
      </c>
      <c r="K25" s="168">
        <v>6160.66</v>
      </c>
      <c r="L25" s="168">
        <v>5258.63</v>
      </c>
    </row>
    <row r="26" spans="1:12" x14ac:dyDescent="0.25">
      <c r="A26" s="167">
        <f t="shared" si="8"/>
        <v>23</v>
      </c>
      <c r="B26" s="168">
        <v>20180.16</v>
      </c>
      <c r="C26" s="168">
        <f t="shared" si="0"/>
        <v>41165.508383999993</v>
      </c>
      <c r="D26" s="168">
        <f t="shared" si="1"/>
        <v>3430.4590319999993</v>
      </c>
      <c r="E26" s="168">
        <f t="shared" si="2"/>
        <v>1915.9077095999999</v>
      </c>
      <c r="F26" s="168">
        <f t="shared" si="3"/>
        <v>3156.0223094399994</v>
      </c>
      <c r="G26" s="168">
        <f t="shared" si="4"/>
        <v>12437.604826222318</v>
      </c>
      <c r="H26" s="168">
        <f t="shared" si="5"/>
        <v>6174.8262575999988</v>
      </c>
      <c r="I26" s="168">
        <f t="shared" si="6"/>
        <v>52412.264660639987</v>
      </c>
      <c r="J26" s="168">
        <f t="shared" si="7"/>
        <v>64849.869486862306</v>
      </c>
      <c r="K26" s="168">
        <v>6213.76</v>
      </c>
      <c r="L26" s="168">
        <v>5303.81</v>
      </c>
    </row>
    <row r="27" spans="1:12" x14ac:dyDescent="0.25">
      <c r="A27" s="167">
        <f t="shared" si="8"/>
        <v>24</v>
      </c>
      <c r="B27" s="168">
        <v>20305.349999999999</v>
      </c>
      <c r="C27" s="168">
        <f t="shared" si="0"/>
        <v>41420.883464999992</v>
      </c>
      <c r="D27" s="168">
        <f t="shared" si="1"/>
        <v>3451.7402887499993</v>
      </c>
      <c r="E27" s="168">
        <f t="shared" si="2"/>
        <v>1922.2920866249999</v>
      </c>
      <c r="F27" s="168">
        <f t="shared" si="3"/>
        <v>3175.6010656499993</v>
      </c>
      <c r="G27" s="168">
        <f t="shared" si="4"/>
        <v>12513.174781754135</v>
      </c>
      <c r="H27" s="168">
        <f t="shared" si="5"/>
        <v>6213.1325197499982</v>
      </c>
      <c r="I27" s="168">
        <f t="shared" si="6"/>
        <v>52731.909137024988</v>
      </c>
      <c r="J27" s="168">
        <f t="shared" si="7"/>
        <v>65245.083918779121</v>
      </c>
      <c r="K27" s="168">
        <v>6267.07</v>
      </c>
      <c r="L27" s="168">
        <v>5349.17</v>
      </c>
    </row>
    <row r="28" spans="1:12" x14ac:dyDescent="0.25">
      <c r="A28" s="167">
        <f t="shared" si="8"/>
        <v>25</v>
      </c>
      <c r="B28" s="168">
        <v>20430.54</v>
      </c>
      <c r="C28" s="168">
        <f t="shared" si="0"/>
        <v>41676.258545999997</v>
      </c>
      <c r="D28" s="168">
        <f t="shared" si="1"/>
        <v>3473.0215454999998</v>
      </c>
      <c r="E28" s="168">
        <f t="shared" si="2"/>
        <v>1928.67646365</v>
      </c>
      <c r="F28" s="168">
        <f t="shared" si="3"/>
        <v>3195.1798218599997</v>
      </c>
      <c r="G28" s="168">
        <f t="shared" si="4"/>
        <v>12588.744737285955</v>
      </c>
      <c r="H28" s="168">
        <f t="shared" si="5"/>
        <v>6251.4387818999994</v>
      </c>
      <c r="I28" s="168">
        <f t="shared" si="6"/>
        <v>53051.553613409997</v>
      </c>
      <c r="J28" s="168">
        <f t="shared" si="7"/>
        <v>65640.298350695957</v>
      </c>
      <c r="K28" s="168">
        <v>6321.94</v>
      </c>
      <c r="L28" s="168">
        <v>5395.85</v>
      </c>
    </row>
    <row r="29" spans="1:12" x14ac:dyDescent="0.25">
      <c r="A29" s="167">
        <f t="shared" si="8"/>
        <v>26</v>
      </c>
      <c r="K29" s="168">
        <v>6376.1</v>
      </c>
      <c r="L29" s="168">
        <v>5441.93</v>
      </c>
    </row>
    <row r="30" spans="1:12" x14ac:dyDescent="0.25">
      <c r="A30" s="167">
        <f t="shared" si="8"/>
        <v>27</v>
      </c>
      <c r="K30" s="168">
        <v>6430.24</v>
      </c>
      <c r="L30" s="168">
        <v>5487.99</v>
      </c>
    </row>
    <row r="31" spans="1:12" x14ac:dyDescent="0.25">
      <c r="A31" s="167">
        <f t="shared" si="8"/>
        <v>28</v>
      </c>
      <c r="K31" s="168">
        <v>6484.39</v>
      </c>
      <c r="L31" s="168">
        <v>5534.06</v>
      </c>
    </row>
    <row r="32" spans="1:12" x14ac:dyDescent="0.25">
      <c r="A32" s="167">
        <f t="shared" si="8"/>
        <v>29</v>
      </c>
      <c r="K32" s="168">
        <v>6538.54</v>
      </c>
      <c r="L32" s="168">
        <v>5580.13</v>
      </c>
    </row>
    <row r="33" spans="1:12" x14ac:dyDescent="0.25">
      <c r="A33" s="167">
        <f t="shared" si="8"/>
        <v>30</v>
      </c>
      <c r="K33" s="168">
        <v>6538.54</v>
      </c>
      <c r="L33" s="168">
        <v>5580.13</v>
      </c>
    </row>
    <row r="34" spans="1:12" x14ac:dyDescent="0.25">
      <c r="A34" s="167">
        <f t="shared" si="8"/>
        <v>31</v>
      </c>
      <c r="K34" s="168">
        <v>6563.13</v>
      </c>
      <c r="L34" s="168">
        <v>5601.06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40B5-5D36-46B4-9316-912AB577B147}">
  <sheetPr>
    <tabColor theme="7" tint="0.79998168889431442"/>
  </sheetPr>
  <dimension ref="A1:K34"/>
  <sheetViews>
    <sheetView workbookViewId="0">
      <selection activeCell="K3" sqref="K3"/>
    </sheetView>
  </sheetViews>
  <sheetFormatPr baseColWidth="10" defaultColWidth="11.42578125" defaultRowHeight="15" x14ac:dyDescent="0.25"/>
  <cols>
    <col min="1" max="1" width="11.42578125" style="167"/>
    <col min="2" max="2" width="16.140625" style="168" customWidth="1"/>
    <col min="3" max="3" width="15.28515625" style="168" customWidth="1"/>
    <col min="4" max="4" width="15.85546875" style="168" customWidth="1"/>
    <col min="5" max="5" width="11.42578125" style="168"/>
    <col min="6" max="6" width="14.7109375" style="168" bestFit="1" customWidth="1"/>
    <col min="7" max="7" width="14.7109375" style="168" customWidth="1"/>
    <col min="8" max="8" width="18.140625" style="168" customWidth="1"/>
    <col min="9" max="9" width="17.42578125" style="168" bestFit="1" customWidth="1"/>
    <col min="10" max="10" width="14.42578125" style="168" customWidth="1"/>
    <col min="11" max="11" width="14.7109375" style="168" customWidth="1"/>
    <col min="12" max="16384" width="11.42578125" style="168"/>
  </cols>
  <sheetData>
    <row r="1" spans="1:11" s="163" customFormat="1" ht="29.45" customHeight="1" x14ac:dyDescent="0.25">
      <c r="A1" s="159" t="s">
        <v>288</v>
      </c>
      <c r="B1" s="159" t="s">
        <v>289</v>
      </c>
      <c r="C1" s="161" t="s">
        <v>276</v>
      </c>
      <c r="D1" s="162">
        <v>2.0398999999999998</v>
      </c>
    </row>
    <row r="2" spans="1:11" s="166" customFormat="1" ht="51.75" customHeight="1" x14ac:dyDescent="0.25">
      <c r="A2" s="164" t="s">
        <v>142</v>
      </c>
      <c r="B2" s="165" t="s">
        <v>290</v>
      </c>
      <c r="C2" s="165" t="s">
        <v>291</v>
      </c>
      <c r="D2" s="165" t="s">
        <v>279</v>
      </c>
      <c r="E2" s="165" t="s">
        <v>148</v>
      </c>
      <c r="F2" s="165" t="s">
        <v>280</v>
      </c>
      <c r="G2" s="165" t="s">
        <v>281</v>
      </c>
      <c r="H2" s="165" t="s">
        <v>283</v>
      </c>
      <c r="I2" s="165" t="s">
        <v>284</v>
      </c>
      <c r="J2" s="174" t="s">
        <v>300</v>
      </c>
      <c r="K2" s="174" t="s">
        <v>301</v>
      </c>
    </row>
    <row r="3" spans="1:11" x14ac:dyDescent="0.25">
      <c r="A3" s="167">
        <v>0</v>
      </c>
      <c r="B3" s="168">
        <v>18026.82</v>
      </c>
      <c r="C3" s="168">
        <f>B3*$D$1</f>
        <v>36772.910118</v>
      </c>
      <c r="D3" s="168">
        <f t="shared" ref="D3:D28" si="0">C3/12</f>
        <v>3064.4091764999998</v>
      </c>
      <c r="E3" s="168">
        <f t="shared" ref="E3:E28" si="1">(886.77+(0.025*C3))</f>
        <v>1806.09275295</v>
      </c>
      <c r="F3" s="168">
        <f t="shared" ref="F3:F28" si="2">(C3/12)*92%</f>
        <v>2819.25644238</v>
      </c>
      <c r="G3" s="168">
        <f t="shared" ref="G3:G28" si="3">(C3+E3)*28.87%</f>
        <v>11137.758128843265</v>
      </c>
      <c r="H3" s="168">
        <f t="shared" ref="H3:H28" si="4">C3+E3+F3</f>
        <v>41398.259313329996</v>
      </c>
      <c r="I3" s="168">
        <f t="shared" ref="I3:I28" si="5">G3+H3</f>
        <v>52536.017442173259</v>
      </c>
      <c r="J3" s="168">
        <v>5277.71</v>
      </c>
      <c r="K3" s="168">
        <v>4440.26</v>
      </c>
    </row>
    <row r="4" spans="1:11" x14ac:dyDescent="0.25">
      <c r="A4" s="167">
        <f t="shared" ref="A4:A34" si="6">A3+1</f>
        <v>1</v>
      </c>
      <c r="B4" s="168">
        <v>18427.14</v>
      </c>
      <c r="C4" s="168">
        <f t="shared" ref="C4:C28" si="7">B4*$D$1</f>
        <v>37589.522885999999</v>
      </c>
      <c r="D4" s="168">
        <f t="shared" si="0"/>
        <v>3132.4602405000001</v>
      </c>
      <c r="E4" s="168">
        <f t="shared" si="1"/>
        <v>1826.5080721499999</v>
      </c>
      <c r="F4" s="168">
        <f t="shared" si="2"/>
        <v>2881.86342126</v>
      </c>
      <c r="G4" s="168">
        <f t="shared" si="3"/>
        <v>11379.408137617904</v>
      </c>
      <c r="H4" s="168">
        <f t="shared" si="4"/>
        <v>42297.894379409998</v>
      </c>
      <c r="I4" s="168">
        <f t="shared" si="5"/>
        <v>53677.3025170279</v>
      </c>
      <c r="J4" s="168">
        <v>5428.4</v>
      </c>
      <c r="K4" s="168">
        <v>4566.47</v>
      </c>
    </row>
    <row r="5" spans="1:11" x14ac:dyDescent="0.25">
      <c r="A5" s="167">
        <f t="shared" si="6"/>
        <v>2</v>
      </c>
      <c r="B5" s="168">
        <v>18827.46</v>
      </c>
      <c r="C5" s="168">
        <f t="shared" si="7"/>
        <v>38406.135653999998</v>
      </c>
      <c r="D5" s="168">
        <f t="shared" si="0"/>
        <v>3200.5113044999998</v>
      </c>
      <c r="E5" s="168">
        <f t="shared" si="1"/>
        <v>1846.92339135</v>
      </c>
      <c r="F5" s="168">
        <f t="shared" si="2"/>
        <v>2944.47040014</v>
      </c>
      <c r="G5" s="168">
        <f t="shared" si="3"/>
        <v>11621.058146392545</v>
      </c>
      <c r="H5" s="168">
        <f t="shared" si="4"/>
        <v>43197.529445489999</v>
      </c>
      <c r="I5" s="168">
        <f t="shared" si="5"/>
        <v>54818.587591882548</v>
      </c>
      <c r="J5" s="168">
        <v>5448.52</v>
      </c>
      <c r="K5" s="168">
        <v>4583.33</v>
      </c>
    </row>
    <row r="6" spans="1:11" x14ac:dyDescent="0.25">
      <c r="A6" s="167">
        <f t="shared" si="6"/>
        <v>3</v>
      </c>
      <c r="B6" s="168">
        <v>19227.78</v>
      </c>
      <c r="C6" s="168">
        <f t="shared" si="7"/>
        <v>39222.748421999997</v>
      </c>
      <c r="D6" s="168">
        <f t="shared" si="0"/>
        <v>3268.5623684999996</v>
      </c>
      <c r="E6" s="168">
        <f t="shared" si="1"/>
        <v>1867.3387105500001</v>
      </c>
      <c r="F6" s="168">
        <f t="shared" si="2"/>
        <v>3007.0773790199996</v>
      </c>
      <c r="G6" s="168">
        <f t="shared" si="3"/>
        <v>11862.708155167185</v>
      </c>
      <c r="H6" s="168">
        <f t="shared" si="4"/>
        <v>44097.164511569994</v>
      </c>
      <c r="I6" s="168">
        <f t="shared" si="5"/>
        <v>55959.872666737181</v>
      </c>
      <c r="J6" s="168">
        <v>5698.17</v>
      </c>
      <c r="K6" s="168">
        <v>4792.45</v>
      </c>
    </row>
    <row r="7" spans="1:11" x14ac:dyDescent="0.25">
      <c r="A7" s="167">
        <f t="shared" si="6"/>
        <v>4</v>
      </c>
      <c r="B7" s="168">
        <v>19528.23</v>
      </c>
      <c r="C7" s="168">
        <f t="shared" si="7"/>
        <v>39835.636376999995</v>
      </c>
      <c r="D7" s="168">
        <f t="shared" si="0"/>
        <v>3319.6363647499998</v>
      </c>
      <c r="E7" s="168">
        <f t="shared" si="1"/>
        <v>1882.6609094249998</v>
      </c>
      <c r="F7" s="168">
        <f t="shared" si="2"/>
        <v>3054.0654555699998</v>
      </c>
      <c r="G7" s="168">
        <f t="shared" si="3"/>
        <v>12044.072426590898</v>
      </c>
      <c r="H7" s="168">
        <f t="shared" si="4"/>
        <v>44772.362741994999</v>
      </c>
      <c r="I7" s="168">
        <f t="shared" si="5"/>
        <v>56816.4351685859</v>
      </c>
      <c r="J7" s="168">
        <v>5698.17</v>
      </c>
      <c r="K7" s="168">
        <v>4792.45</v>
      </c>
    </row>
    <row r="8" spans="1:11" x14ac:dyDescent="0.25">
      <c r="A8" s="167">
        <f t="shared" si="6"/>
        <v>5</v>
      </c>
      <c r="B8" s="168">
        <v>19828.68</v>
      </c>
      <c r="C8" s="168">
        <f t="shared" si="7"/>
        <v>40448.524331999994</v>
      </c>
      <c r="D8" s="168">
        <f t="shared" si="0"/>
        <v>3370.7103609999995</v>
      </c>
      <c r="E8" s="168">
        <f t="shared" si="1"/>
        <v>1897.9831082999999</v>
      </c>
      <c r="F8" s="168">
        <f t="shared" si="2"/>
        <v>3101.0535321199995</v>
      </c>
      <c r="G8" s="168">
        <f t="shared" si="3"/>
        <v>12225.43669801461</v>
      </c>
      <c r="H8" s="168">
        <f t="shared" si="4"/>
        <v>45447.560972419997</v>
      </c>
      <c r="I8" s="168">
        <f t="shared" si="5"/>
        <v>57672.997670434605</v>
      </c>
      <c r="J8" s="168">
        <v>5864.13</v>
      </c>
      <c r="K8" s="168">
        <v>4931.47</v>
      </c>
    </row>
    <row r="9" spans="1:11" x14ac:dyDescent="0.25">
      <c r="A9" s="167">
        <f t="shared" si="6"/>
        <v>6</v>
      </c>
      <c r="B9" s="168">
        <v>20129.13</v>
      </c>
      <c r="C9" s="168">
        <f t="shared" si="7"/>
        <v>41061.412286999999</v>
      </c>
      <c r="D9" s="168">
        <f t="shared" si="0"/>
        <v>3421.7843572500001</v>
      </c>
      <c r="E9" s="168">
        <f t="shared" si="1"/>
        <v>1913.3053071750001</v>
      </c>
      <c r="F9" s="168">
        <f t="shared" si="2"/>
        <v>3148.0416086700002</v>
      </c>
      <c r="G9" s="168">
        <f t="shared" si="3"/>
        <v>12406.800969438324</v>
      </c>
      <c r="H9" s="168">
        <f t="shared" si="4"/>
        <v>46122.759202845002</v>
      </c>
      <c r="I9" s="168">
        <f t="shared" si="5"/>
        <v>58529.560172283323</v>
      </c>
      <c r="J9" s="168">
        <v>5864.13</v>
      </c>
      <c r="K9" s="168">
        <v>4931.47</v>
      </c>
    </row>
    <row r="10" spans="1:11" x14ac:dyDescent="0.25">
      <c r="A10" s="167">
        <f t="shared" si="6"/>
        <v>7</v>
      </c>
      <c r="B10" s="168">
        <v>20429.580000000002</v>
      </c>
      <c r="C10" s="168">
        <f t="shared" si="7"/>
        <v>41674.300241999998</v>
      </c>
      <c r="D10" s="168">
        <f t="shared" si="0"/>
        <v>3472.8583534999998</v>
      </c>
      <c r="E10" s="168">
        <f t="shared" si="1"/>
        <v>1928.62750605</v>
      </c>
      <c r="F10" s="168">
        <f t="shared" si="2"/>
        <v>3195.0296852199999</v>
      </c>
      <c r="G10" s="168">
        <f t="shared" si="3"/>
        <v>12588.165240862034</v>
      </c>
      <c r="H10" s="168">
        <f t="shared" si="4"/>
        <v>46797.957433269992</v>
      </c>
      <c r="I10" s="168">
        <f t="shared" si="5"/>
        <v>59386.122674132028</v>
      </c>
      <c r="J10" s="168">
        <v>6517.51</v>
      </c>
      <c r="K10" s="168">
        <v>5478.8</v>
      </c>
    </row>
    <row r="11" spans="1:11" x14ac:dyDescent="0.25">
      <c r="A11" s="167">
        <f t="shared" si="6"/>
        <v>8</v>
      </c>
      <c r="B11" s="168">
        <v>20579.810000000001</v>
      </c>
      <c r="C11" s="168">
        <f t="shared" si="7"/>
        <v>41980.754418999997</v>
      </c>
      <c r="D11" s="168">
        <f t="shared" si="0"/>
        <v>3498.3962015833331</v>
      </c>
      <c r="E11" s="168">
        <f t="shared" si="1"/>
        <v>1936.2888604749999</v>
      </c>
      <c r="F11" s="168">
        <f t="shared" si="2"/>
        <v>3218.5245054566667</v>
      </c>
      <c r="G11" s="168">
        <f t="shared" si="3"/>
        <v>12678.850394784431</v>
      </c>
      <c r="H11" s="168">
        <f t="shared" si="4"/>
        <v>47135.567784931663</v>
      </c>
      <c r="I11" s="168">
        <f t="shared" si="5"/>
        <v>59814.418179716093</v>
      </c>
      <c r="J11" s="168">
        <v>6517.51</v>
      </c>
      <c r="K11" s="168">
        <v>5478.8</v>
      </c>
    </row>
    <row r="12" spans="1:11" x14ac:dyDescent="0.25">
      <c r="A12" s="167">
        <f t="shared" si="6"/>
        <v>9</v>
      </c>
      <c r="B12" s="168">
        <v>20730.04</v>
      </c>
      <c r="C12" s="168">
        <f t="shared" si="7"/>
        <v>42287.208595999997</v>
      </c>
      <c r="D12" s="168">
        <f t="shared" si="0"/>
        <v>3523.9340496666664</v>
      </c>
      <c r="E12" s="168">
        <f t="shared" si="1"/>
        <v>1943.9502149</v>
      </c>
      <c r="F12" s="168">
        <f t="shared" si="2"/>
        <v>3242.019325693333</v>
      </c>
      <c r="G12" s="168">
        <f t="shared" si="3"/>
        <v>12769.53554870683</v>
      </c>
      <c r="H12" s="168">
        <f t="shared" si="4"/>
        <v>47473.178136593335</v>
      </c>
      <c r="I12" s="168">
        <f t="shared" si="5"/>
        <v>60242.713685300165</v>
      </c>
      <c r="J12" s="168">
        <v>6681.96</v>
      </c>
      <c r="K12" s="168">
        <v>5616.55</v>
      </c>
    </row>
    <row r="13" spans="1:11" x14ac:dyDescent="0.25">
      <c r="A13" s="167">
        <f t="shared" si="6"/>
        <v>10</v>
      </c>
      <c r="B13" s="168">
        <v>20880.27</v>
      </c>
      <c r="C13" s="168">
        <f t="shared" si="7"/>
        <v>42593.662772999996</v>
      </c>
      <c r="D13" s="168">
        <f t="shared" si="0"/>
        <v>3549.4718977499997</v>
      </c>
      <c r="E13" s="168">
        <f t="shared" si="1"/>
        <v>1951.6115693249999</v>
      </c>
      <c r="F13" s="168">
        <f t="shared" si="2"/>
        <v>3265.5141459299998</v>
      </c>
      <c r="G13" s="168">
        <f t="shared" si="3"/>
        <v>12860.220702629227</v>
      </c>
      <c r="H13" s="168">
        <f t="shared" si="4"/>
        <v>47810.788488254999</v>
      </c>
      <c r="I13" s="168">
        <f t="shared" si="5"/>
        <v>60671.00919088423</v>
      </c>
      <c r="J13" s="168">
        <v>6788.46</v>
      </c>
      <c r="K13" s="168">
        <v>5705.76</v>
      </c>
    </row>
    <row r="14" spans="1:11" x14ac:dyDescent="0.25">
      <c r="A14" s="167">
        <f t="shared" si="6"/>
        <v>11</v>
      </c>
      <c r="B14" s="168">
        <v>21155.69</v>
      </c>
      <c r="C14" s="168">
        <f t="shared" si="7"/>
        <v>43155.492030999994</v>
      </c>
      <c r="D14" s="168">
        <f t="shared" si="0"/>
        <v>3596.291002583333</v>
      </c>
      <c r="E14" s="168">
        <f t="shared" si="1"/>
        <v>1965.6573007749998</v>
      </c>
      <c r="F14" s="168">
        <f t="shared" si="2"/>
        <v>3308.5877223766665</v>
      </c>
      <c r="G14" s="168">
        <f t="shared" si="3"/>
        <v>13026.475812083441</v>
      </c>
      <c r="H14" s="168">
        <f t="shared" si="4"/>
        <v>48429.737054151658</v>
      </c>
      <c r="I14" s="168">
        <f t="shared" si="5"/>
        <v>61456.212866235102</v>
      </c>
      <c r="J14" s="168">
        <v>6951.05</v>
      </c>
      <c r="K14" s="168">
        <v>5841.96</v>
      </c>
    </row>
    <row r="15" spans="1:11" x14ac:dyDescent="0.25">
      <c r="A15" s="167">
        <f t="shared" si="6"/>
        <v>12</v>
      </c>
      <c r="B15" s="168">
        <v>21431.11</v>
      </c>
      <c r="C15" s="168">
        <f t="shared" si="7"/>
        <v>43717.321289</v>
      </c>
      <c r="D15" s="168">
        <f t="shared" si="0"/>
        <v>3643.1101074166668</v>
      </c>
      <c r="E15" s="168">
        <f t="shared" si="1"/>
        <v>1979.703032225</v>
      </c>
      <c r="F15" s="168">
        <f t="shared" si="2"/>
        <v>3351.6612988233337</v>
      </c>
      <c r="G15" s="168">
        <f t="shared" si="3"/>
        <v>13192.730921537657</v>
      </c>
      <c r="H15" s="168">
        <f t="shared" si="4"/>
        <v>49048.685620048331</v>
      </c>
      <c r="I15" s="168">
        <f t="shared" si="5"/>
        <v>62241.41654158599</v>
      </c>
      <c r="J15" s="168">
        <v>6951.05</v>
      </c>
      <c r="K15" s="168">
        <v>5841.96</v>
      </c>
    </row>
    <row r="16" spans="1:11" x14ac:dyDescent="0.25">
      <c r="A16" s="167">
        <f t="shared" si="6"/>
        <v>13</v>
      </c>
      <c r="B16" s="168">
        <v>21706.53</v>
      </c>
      <c r="C16" s="168">
        <f t="shared" si="7"/>
        <v>44279.15054699999</v>
      </c>
      <c r="D16" s="168">
        <f t="shared" si="0"/>
        <v>3689.9292122499992</v>
      </c>
      <c r="E16" s="168">
        <f t="shared" si="1"/>
        <v>1993.7487636749997</v>
      </c>
      <c r="F16" s="168">
        <f t="shared" si="2"/>
        <v>3394.7348752699995</v>
      </c>
      <c r="G16" s="168">
        <f t="shared" si="3"/>
        <v>13358.986030991871</v>
      </c>
      <c r="H16" s="168">
        <f t="shared" si="4"/>
        <v>49667.634185944989</v>
      </c>
      <c r="I16" s="168">
        <f t="shared" si="5"/>
        <v>63026.620216936863</v>
      </c>
      <c r="J16" s="168">
        <v>7113.61</v>
      </c>
      <c r="K16" s="168">
        <v>5978.14</v>
      </c>
    </row>
    <row r="17" spans="1:11" x14ac:dyDescent="0.25">
      <c r="A17" s="167">
        <f t="shared" si="6"/>
        <v>14</v>
      </c>
      <c r="B17" s="168">
        <v>21981.95</v>
      </c>
      <c r="C17" s="168">
        <f t="shared" si="7"/>
        <v>44840.979804999995</v>
      </c>
      <c r="D17" s="168">
        <f t="shared" si="0"/>
        <v>3736.7483170833329</v>
      </c>
      <c r="E17" s="168">
        <f t="shared" si="1"/>
        <v>2007.7944951249999</v>
      </c>
      <c r="F17" s="168">
        <f t="shared" si="2"/>
        <v>3437.8084517166662</v>
      </c>
      <c r="G17" s="168">
        <f t="shared" si="3"/>
        <v>13525.241140446087</v>
      </c>
      <c r="H17" s="168">
        <f t="shared" si="4"/>
        <v>50286.582751841663</v>
      </c>
      <c r="I17" s="168">
        <f t="shared" si="5"/>
        <v>63811.82389228775</v>
      </c>
      <c r="J17" s="168">
        <v>7113.61</v>
      </c>
      <c r="K17" s="168">
        <v>5978.14</v>
      </c>
    </row>
    <row r="18" spans="1:11" x14ac:dyDescent="0.25">
      <c r="A18" s="167">
        <f t="shared" si="6"/>
        <v>15</v>
      </c>
      <c r="B18" s="168">
        <v>22257.37</v>
      </c>
      <c r="C18" s="168">
        <f t="shared" si="7"/>
        <v>45402.809062999993</v>
      </c>
      <c r="D18" s="168">
        <f t="shared" si="0"/>
        <v>3783.5674219166663</v>
      </c>
      <c r="E18" s="168">
        <f t="shared" si="1"/>
        <v>2021.8402265749999</v>
      </c>
      <c r="F18" s="168">
        <f t="shared" si="2"/>
        <v>3480.882028163333</v>
      </c>
      <c r="G18" s="168">
        <f t="shared" si="3"/>
        <v>13691.4962499003</v>
      </c>
      <c r="H18" s="168">
        <f t="shared" si="4"/>
        <v>50905.531317738321</v>
      </c>
      <c r="I18" s="168">
        <f t="shared" si="5"/>
        <v>64597.027567638623</v>
      </c>
      <c r="J18" s="168">
        <v>7282.53</v>
      </c>
      <c r="K18" s="168">
        <v>6119.63</v>
      </c>
    </row>
    <row r="19" spans="1:11" x14ac:dyDescent="0.25">
      <c r="A19" s="167">
        <f t="shared" si="6"/>
        <v>16</v>
      </c>
      <c r="B19" s="168">
        <v>22532.79</v>
      </c>
      <c r="C19" s="168">
        <f t="shared" si="7"/>
        <v>45964.638320999999</v>
      </c>
      <c r="D19" s="168">
        <f t="shared" si="0"/>
        <v>3830.38652675</v>
      </c>
      <c r="E19" s="168">
        <f t="shared" si="1"/>
        <v>2035.885958025</v>
      </c>
      <c r="F19" s="168">
        <f t="shared" si="2"/>
        <v>3523.9556046100001</v>
      </c>
      <c r="G19" s="168">
        <f t="shared" si="3"/>
        <v>13857.751359354517</v>
      </c>
      <c r="H19" s="168">
        <f t="shared" si="4"/>
        <v>51524.479883634995</v>
      </c>
      <c r="I19" s="168">
        <f t="shared" si="5"/>
        <v>65382.23124298951</v>
      </c>
      <c r="J19" s="168">
        <v>7836.19</v>
      </c>
      <c r="K19" s="168">
        <v>6583.42</v>
      </c>
    </row>
    <row r="20" spans="1:11" x14ac:dyDescent="0.25">
      <c r="A20" s="167">
        <f t="shared" si="6"/>
        <v>17</v>
      </c>
      <c r="B20" s="168">
        <v>22808.21</v>
      </c>
      <c r="C20" s="168">
        <f t="shared" si="7"/>
        <v>46526.467578999996</v>
      </c>
      <c r="D20" s="168">
        <f t="shared" si="0"/>
        <v>3877.2056315833329</v>
      </c>
      <c r="E20" s="168">
        <f t="shared" si="1"/>
        <v>2049.931689475</v>
      </c>
      <c r="F20" s="168">
        <f t="shared" si="2"/>
        <v>3567.0291810566664</v>
      </c>
      <c r="G20" s="168">
        <f t="shared" si="3"/>
        <v>14024.006468808733</v>
      </c>
      <c r="H20" s="168">
        <f t="shared" si="4"/>
        <v>52143.428449531661</v>
      </c>
      <c r="I20" s="168">
        <f t="shared" si="5"/>
        <v>66167.434918340397</v>
      </c>
      <c r="J20" s="168">
        <v>7998.76</v>
      </c>
      <c r="K20" s="168">
        <v>6719.6</v>
      </c>
    </row>
    <row r="21" spans="1:11" x14ac:dyDescent="0.25">
      <c r="A21" s="167">
        <f t="shared" si="6"/>
        <v>18</v>
      </c>
      <c r="B21" s="168">
        <v>23083.63</v>
      </c>
      <c r="C21" s="168">
        <f t="shared" si="7"/>
        <v>47088.296836999994</v>
      </c>
      <c r="D21" s="168">
        <f t="shared" si="0"/>
        <v>3924.0247364166662</v>
      </c>
      <c r="E21" s="168">
        <f t="shared" si="1"/>
        <v>2063.9774209249999</v>
      </c>
      <c r="F21" s="168">
        <f t="shared" si="2"/>
        <v>3610.1027575033331</v>
      </c>
      <c r="G21" s="168">
        <f t="shared" si="3"/>
        <v>14190.261578262947</v>
      </c>
      <c r="H21" s="168">
        <f t="shared" si="4"/>
        <v>52762.377015428327</v>
      </c>
      <c r="I21" s="168">
        <f t="shared" si="5"/>
        <v>66952.63859369127</v>
      </c>
      <c r="J21" s="168">
        <v>7999.35</v>
      </c>
      <c r="K21" s="168">
        <v>6720.09</v>
      </c>
    </row>
    <row r="22" spans="1:11" x14ac:dyDescent="0.25">
      <c r="A22" s="167">
        <f t="shared" si="6"/>
        <v>19</v>
      </c>
      <c r="B22" s="168">
        <v>23359.05</v>
      </c>
      <c r="C22" s="168">
        <f t="shared" si="7"/>
        <v>47650.126094999992</v>
      </c>
      <c r="D22" s="168">
        <f t="shared" si="0"/>
        <v>3970.8438412499995</v>
      </c>
      <c r="E22" s="168">
        <f t="shared" si="1"/>
        <v>2078.0231523749999</v>
      </c>
      <c r="F22" s="168">
        <f t="shared" si="2"/>
        <v>3653.1763339499998</v>
      </c>
      <c r="G22" s="168">
        <f t="shared" si="3"/>
        <v>14356.51668771716</v>
      </c>
      <c r="H22" s="168">
        <f t="shared" si="4"/>
        <v>53381.325581324993</v>
      </c>
      <c r="I22" s="168">
        <f t="shared" si="5"/>
        <v>67737.842269042158</v>
      </c>
      <c r="J22" s="168">
        <v>8163.13</v>
      </c>
      <c r="K22" s="168">
        <v>6857.28</v>
      </c>
    </row>
    <row r="23" spans="1:11" x14ac:dyDescent="0.25">
      <c r="A23" s="167">
        <f t="shared" si="6"/>
        <v>20</v>
      </c>
      <c r="B23" s="168">
        <v>23634.47</v>
      </c>
      <c r="C23" s="168">
        <f t="shared" si="7"/>
        <v>48211.955352999998</v>
      </c>
      <c r="D23" s="168">
        <f t="shared" si="0"/>
        <v>4017.6629460833333</v>
      </c>
      <c r="E23" s="168">
        <f t="shared" si="1"/>
        <v>2092.0688838249998</v>
      </c>
      <c r="F23" s="168">
        <f t="shared" si="2"/>
        <v>3696.2499103966666</v>
      </c>
      <c r="G23" s="168">
        <f t="shared" si="3"/>
        <v>14522.771797171377</v>
      </c>
      <c r="H23" s="168">
        <f t="shared" si="4"/>
        <v>54000.274147221666</v>
      </c>
      <c r="I23" s="168">
        <f t="shared" si="5"/>
        <v>68523.045944393045</v>
      </c>
      <c r="J23" s="168">
        <v>8184.44</v>
      </c>
      <c r="K23" s="168">
        <v>6875.13</v>
      </c>
    </row>
    <row r="24" spans="1:11" x14ac:dyDescent="0.25">
      <c r="A24" s="167">
        <f t="shared" si="6"/>
        <v>21</v>
      </c>
      <c r="B24" s="168">
        <v>23909.89</v>
      </c>
      <c r="C24" s="168">
        <f t="shared" si="7"/>
        <v>48773.784610999995</v>
      </c>
      <c r="D24" s="168">
        <f t="shared" si="0"/>
        <v>4064.4820509166661</v>
      </c>
      <c r="E24" s="168">
        <f t="shared" si="1"/>
        <v>2106.1146152749998</v>
      </c>
      <c r="F24" s="168">
        <f t="shared" si="2"/>
        <v>3739.3234868433328</v>
      </c>
      <c r="G24" s="168">
        <f t="shared" si="3"/>
        <v>14689.026906625591</v>
      </c>
      <c r="H24" s="168">
        <f t="shared" si="4"/>
        <v>54619.222713118332</v>
      </c>
      <c r="I24" s="168">
        <f t="shared" si="5"/>
        <v>69308.249619743918</v>
      </c>
      <c r="J24" s="168">
        <v>8326.91</v>
      </c>
      <c r="K24" s="168">
        <v>6994.49</v>
      </c>
    </row>
    <row r="25" spans="1:11" x14ac:dyDescent="0.25">
      <c r="A25" s="167">
        <f t="shared" si="6"/>
        <v>22</v>
      </c>
      <c r="B25" s="168">
        <v>24185.31</v>
      </c>
      <c r="C25" s="168">
        <f t="shared" si="7"/>
        <v>49335.613869000001</v>
      </c>
      <c r="D25" s="168">
        <f t="shared" si="0"/>
        <v>4111.3011557500004</v>
      </c>
      <c r="E25" s="168">
        <f t="shared" si="1"/>
        <v>2120.1603467250002</v>
      </c>
      <c r="F25" s="168">
        <f t="shared" si="2"/>
        <v>3782.3970632900005</v>
      </c>
      <c r="G25" s="168">
        <f t="shared" si="3"/>
        <v>14855.282016079809</v>
      </c>
      <c r="H25" s="168">
        <f t="shared" si="4"/>
        <v>55238.171279015005</v>
      </c>
      <c r="I25" s="168">
        <f t="shared" si="5"/>
        <v>70093.45329509482</v>
      </c>
      <c r="J25" s="168">
        <v>8326.91</v>
      </c>
      <c r="K25" s="168">
        <v>6994.49</v>
      </c>
    </row>
    <row r="26" spans="1:11" x14ac:dyDescent="0.25">
      <c r="A26" s="167">
        <f t="shared" si="6"/>
        <v>23</v>
      </c>
      <c r="B26" s="168">
        <v>24460.73</v>
      </c>
      <c r="C26" s="168">
        <f t="shared" si="7"/>
        <v>49897.443126999991</v>
      </c>
      <c r="D26" s="168">
        <f t="shared" si="0"/>
        <v>4158.1202605833323</v>
      </c>
      <c r="E26" s="168">
        <f t="shared" si="1"/>
        <v>2134.2060781749997</v>
      </c>
      <c r="F26" s="168">
        <f t="shared" si="2"/>
        <v>3825.4706397366658</v>
      </c>
      <c r="G26" s="168">
        <f t="shared" si="3"/>
        <v>15021.53712553402</v>
      </c>
      <c r="H26" s="168">
        <f t="shared" si="4"/>
        <v>55857.119844911656</v>
      </c>
      <c r="I26" s="168">
        <f t="shared" si="5"/>
        <v>70878.656970445678</v>
      </c>
      <c r="J26" s="168">
        <v>8490.7000000000007</v>
      </c>
      <c r="K26" s="168">
        <v>7131.68</v>
      </c>
    </row>
    <row r="27" spans="1:11" x14ac:dyDescent="0.25">
      <c r="A27" s="167">
        <f t="shared" si="6"/>
        <v>24</v>
      </c>
      <c r="B27" s="168">
        <v>24736.15</v>
      </c>
      <c r="C27" s="168">
        <f t="shared" si="7"/>
        <v>50459.272384999997</v>
      </c>
      <c r="D27" s="168">
        <f t="shared" si="0"/>
        <v>4204.9393654166661</v>
      </c>
      <c r="E27" s="168">
        <f t="shared" si="1"/>
        <v>2148.2518096250001</v>
      </c>
      <c r="F27" s="168">
        <f t="shared" si="2"/>
        <v>3868.544216183333</v>
      </c>
      <c r="G27" s="168">
        <f t="shared" si="3"/>
        <v>15187.792234988237</v>
      </c>
      <c r="H27" s="168">
        <f t="shared" si="4"/>
        <v>56476.06841080833</v>
      </c>
      <c r="I27" s="168">
        <f t="shared" si="5"/>
        <v>71663.860645796565</v>
      </c>
      <c r="J27" s="168">
        <v>8490.7000000000007</v>
      </c>
      <c r="K27" s="168">
        <v>7131.68</v>
      </c>
    </row>
    <row r="28" spans="1:11" x14ac:dyDescent="0.25">
      <c r="A28" s="167">
        <f t="shared" si="6"/>
        <v>25</v>
      </c>
      <c r="B28" s="168">
        <v>25011.57</v>
      </c>
      <c r="C28" s="168">
        <f t="shared" si="7"/>
        <v>51021.101642999995</v>
      </c>
      <c r="D28" s="168">
        <f t="shared" si="0"/>
        <v>4251.7584702499998</v>
      </c>
      <c r="E28" s="168">
        <f t="shared" si="1"/>
        <v>2162.297541075</v>
      </c>
      <c r="F28" s="168">
        <f t="shared" si="2"/>
        <v>3911.6177926300002</v>
      </c>
      <c r="G28" s="168">
        <f t="shared" si="3"/>
        <v>15354.047344442452</v>
      </c>
      <c r="H28" s="168">
        <f t="shared" si="4"/>
        <v>57095.016976704996</v>
      </c>
      <c r="I28" s="168">
        <f t="shared" si="5"/>
        <v>72449.064321147453</v>
      </c>
      <c r="J28" s="168">
        <v>8654.4699999999993</v>
      </c>
      <c r="K28" s="168">
        <v>7268.88</v>
      </c>
    </row>
    <row r="29" spans="1:11" x14ac:dyDescent="0.25">
      <c r="A29" s="167">
        <f t="shared" si="6"/>
        <v>26</v>
      </c>
      <c r="J29" s="168">
        <v>8654.4699999999993</v>
      </c>
      <c r="K29" s="168">
        <v>7268.88</v>
      </c>
    </row>
    <row r="30" spans="1:11" x14ac:dyDescent="0.25">
      <c r="A30" s="167">
        <f t="shared" si="6"/>
        <v>27</v>
      </c>
      <c r="J30" s="168">
        <v>8818.25</v>
      </c>
      <c r="K30" s="168">
        <v>7406.07</v>
      </c>
    </row>
    <row r="31" spans="1:11" x14ac:dyDescent="0.25">
      <c r="A31" s="167">
        <f t="shared" si="6"/>
        <v>28</v>
      </c>
      <c r="J31" s="168">
        <v>8818.25</v>
      </c>
      <c r="K31" s="168">
        <v>7406.07</v>
      </c>
    </row>
    <row r="32" spans="1:11" x14ac:dyDescent="0.25">
      <c r="A32" s="167">
        <f t="shared" si="6"/>
        <v>29</v>
      </c>
      <c r="J32" s="168">
        <v>8840.27</v>
      </c>
      <c r="K32" s="168">
        <v>7424.51</v>
      </c>
    </row>
    <row r="33" spans="1:11" x14ac:dyDescent="0.25">
      <c r="A33" s="167">
        <f t="shared" si="6"/>
        <v>30</v>
      </c>
      <c r="J33" s="168">
        <v>8840.27</v>
      </c>
      <c r="K33" s="168">
        <v>7424.51</v>
      </c>
    </row>
    <row r="34" spans="1:11" x14ac:dyDescent="0.25">
      <c r="A34" s="167">
        <f t="shared" si="6"/>
        <v>31</v>
      </c>
      <c r="J34" s="168">
        <v>8840.27</v>
      </c>
      <c r="K34" s="168">
        <v>7424.51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4D33-AACC-4165-BE37-D05BE8B44F1D}">
  <sheetPr>
    <tabColor theme="7" tint="0.79998168889431442"/>
  </sheetPr>
  <dimension ref="A1:K34"/>
  <sheetViews>
    <sheetView workbookViewId="0">
      <selection activeCell="K3" sqref="K3"/>
    </sheetView>
  </sheetViews>
  <sheetFormatPr baseColWidth="10" defaultColWidth="11.42578125" defaultRowHeight="15" x14ac:dyDescent="0.25"/>
  <cols>
    <col min="1" max="1" width="11.42578125" style="167"/>
    <col min="2" max="2" width="16.28515625" style="168" customWidth="1"/>
    <col min="3" max="3" width="16" style="168" customWidth="1"/>
    <col min="4" max="4" width="14.42578125" style="168" customWidth="1"/>
    <col min="5" max="5" width="11.42578125" style="168"/>
    <col min="6" max="6" width="14.7109375" style="168" bestFit="1" customWidth="1"/>
    <col min="7" max="7" width="14.7109375" style="168" customWidth="1"/>
    <col min="8" max="8" width="17.28515625" style="168" customWidth="1"/>
    <col min="9" max="9" width="17.140625" style="168" customWidth="1"/>
    <col min="10" max="10" width="13.85546875" style="168" customWidth="1"/>
    <col min="11" max="11" width="16.140625" style="168" customWidth="1"/>
    <col min="12" max="16384" width="11.42578125" style="168"/>
  </cols>
  <sheetData>
    <row r="1" spans="1:11" s="163" customFormat="1" ht="35.25" customHeight="1" x14ac:dyDescent="0.25">
      <c r="A1" s="159" t="s">
        <v>292</v>
      </c>
      <c r="B1" s="160" t="s">
        <v>293</v>
      </c>
      <c r="C1" s="161" t="s">
        <v>276</v>
      </c>
      <c r="D1" s="162">
        <v>2.0398999999999998</v>
      </c>
    </row>
    <row r="2" spans="1:11" s="166" customFormat="1" ht="54" customHeight="1" x14ac:dyDescent="0.25">
      <c r="A2" s="164" t="s">
        <v>142</v>
      </c>
      <c r="B2" s="165" t="s">
        <v>290</v>
      </c>
      <c r="C2" s="165" t="s">
        <v>291</v>
      </c>
      <c r="D2" s="165" t="s">
        <v>294</v>
      </c>
      <c r="E2" s="165" t="s">
        <v>148</v>
      </c>
      <c r="F2" s="165" t="s">
        <v>280</v>
      </c>
      <c r="G2" s="165" t="s">
        <v>281</v>
      </c>
      <c r="H2" s="165" t="s">
        <v>283</v>
      </c>
      <c r="I2" s="165" t="s">
        <v>284</v>
      </c>
      <c r="J2" s="174" t="s">
        <v>300</v>
      </c>
      <c r="K2" s="174" t="s">
        <v>301</v>
      </c>
    </row>
    <row r="3" spans="1:11" x14ac:dyDescent="0.25">
      <c r="A3" s="167">
        <v>0</v>
      </c>
      <c r="B3" s="168">
        <v>19529.060000000001</v>
      </c>
      <c r="C3" s="168">
        <f>B3*$D$1</f>
        <v>39837.329493999998</v>
      </c>
      <c r="D3" s="168">
        <f>C3/12</f>
        <v>3319.7774578333333</v>
      </c>
      <c r="E3" s="168">
        <f>(886.77+(0.025*C3))</f>
        <v>1882.7032373500001</v>
      </c>
      <c r="F3" s="168">
        <f>(C3/12)*92%</f>
        <v>3054.1952612066666</v>
      </c>
      <c r="G3" s="168">
        <f>(C3+E3)*28.87%</f>
        <v>12044.573449540743</v>
      </c>
      <c r="H3" s="168">
        <f>C3+E3+F3</f>
        <v>44774.227992556662</v>
      </c>
      <c r="I3" s="168">
        <f>G3+H3</f>
        <v>56818.801442097407</v>
      </c>
      <c r="J3" s="168">
        <v>5277.71</v>
      </c>
      <c r="K3" s="168">
        <v>4440.26</v>
      </c>
    </row>
    <row r="4" spans="1:11" x14ac:dyDescent="0.25">
      <c r="A4" s="167">
        <f>A3+1</f>
        <v>1</v>
      </c>
      <c r="B4" s="168">
        <v>19804.48</v>
      </c>
      <c r="C4" s="168">
        <f t="shared" ref="C4:C28" si="0">B4*$D$1</f>
        <v>40399.158751999996</v>
      </c>
      <c r="D4" s="168">
        <f t="shared" ref="D4:D28" si="1">C4/12</f>
        <v>3366.5965626666662</v>
      </c>
      <c r="E4" s="168">
        <f t="shared" ref="E4:E28" si="2">(886.77+(0.025*C4))</f>
        <v>1896.7489688000001</v>
      </c>
      <c r="F4" s="168">
        <f t="shared" ref="F4:F28" si="3">(C4/12)*92%</f>
        <v>3097.2688376533329</v>
      </c>
      <c r="G4" s="168">
        <f t="shared" ref="G4:G28" si="4">(C4+E4)*28.87%</f>
        <v>12210.828558994959</v>
      </c>
      <c r="H4" s="168">
        <f t="shared" ref="H4:H28" si="5">C4+E4+F4</f>
        <v>45393.176558453328</v>
      </c>
      <c r="I4" s="168">
        <f t="shared" ref="I4:I28" si="6">G4+H4</f>
        <v>57604.005117448287</v>
      </c>
      <c r="J4" s="168">
        <v>5428.4</v>
      </c>
      <c r="K4" s="168">
        <v>4566.47</v>
      </c>
    </row>
    <row r="5" spans="1:11" x14ac:dyDescent="0.25">
      <c r="A5" s="167">
        <f t="shared" ref="A5:A28" si="7">A4+1</f>
        <v>2</v>
      </c>
      <c r="B5" s="168">
        <v>20079.900000000001</v>
      </c>
      <c r="C5" s="168">
        <f t="shared" si="0"/>
        <v>40960.988010000001</v>
      </c>
      <c r="D5" s="168">
        <f t="shared" si="1"/>
        <v>3413.4156674999999</v>
      </c>
      <c r="E5" s="168">
        <f t="shared" si="2"/>
        <v>1910.79470025</v>
      </c>
      <c r="F5" s="168">
        <f t="shared" si="3"/>
        <v>3140.3424141</v>
      </c>
      <c r="G5" s="168">
        <f t="shared" si="4"/>
        <v>12377.083668449175</v>
      </c>
      <c r="H5" s="168">
        <f t="shared" si="5"/>
        <v>46012.125124350001</v>
      </c>
      <c r="I5" s="168">
        <f t="shared" si="6"/>
        <v>58389.208792799174</v>
      </c>
      <c r="J5" s="168">
        <v>5448.52</v>
      </c>
      <c r="K5" s="168">
        <v>4583.33</v>
      </c>
    </row>
    <row r="6" spans="1:11" x14ac:dyDescent="0.25">
      <c r="A6" s="167">
        <f t="shared" si="7"/>
        <v>3</v>
      </c>
      <c r="B6" s="168">
        <v>20355.32</v>
      </c>
      <c r="C6" s="168">
        <f t="shared" si="0"/>
        <v>41522.817267999999</v>
      </c>
      <c r="D6" s="168">
        <f t="shared" si="1"/>
        <v>3460.2347723333332</v>
      </c>
      <c r="E6" s="168">
        <f t="shared" si="2"/>
        <v>1924.8404317</v>
      </c>
      <c r="F6" s="168">
        <f t="shared" si="3"/>
        <v>3183.4159905466668</v>
      </c>
      <c r="G6" s="168">
        <f t="shared" si="4"/>
        <v>12543.338777903391</v>
      </c>
      <c r="H6" s="168">
        <f t="shared" si="5"/>
        <v>46631.073690246667</v>
      </c>
      <c r="I6" s="168">
        <f t="shared" si="6"/>
        <v>59174.412468150054</v>
      </c>
      <c r="J6" s="168">
        <v>5698.17</v>
      </c>
      <c r="K6" s="168">
        <v>4792.45</v>
      </c>
    </row>
    <row r="7" spans="1:11" x14ac:dyDescent="0.25">
      <c r="A7" s="167">
        <f t="shared" si="7"/>
        <v>4</v>
      </c>
      <c r="B7" s="168">
        <v>20630.740000000002</v>
      </c>
      <c r="C7" s="168">
        <f t="shared" si="0"/>
        <v>42084.646525999997</v>
      </c>
      <c r="D7" s="168">
        <f t="shared" si="1"/>
        <v>3507.0538771666666</v>
      </c>
      <c r="E7" s="168">
        <f t="shared" si="2"/>
        <v>1938.8861631499999</v>
      </c>
      <c r="F7" s="168">
        <f t="shared" si="3"/>
        <v>3226.4895669933335</v>
      </c>
      <c r="G7" s="168">
        <f t="shared" si="4"/>
        <v>12709.593887357603</v>
      </c>
      <c r="H7" s="168">
        <f t="shared" si="5"/>
        <v>47250.022256143326</v>
      </c>
      <c r="I7" s="168">
        <f t="shared" si="6"/>
        <v>59959.616143500927</v>
      </c>
      <c r="J7" s="168">
        <v>5698.17</v>
      </c>
      <c r="K7" s="168">
        <v>4792.45</v>
      </c>
    </row>
    <row r="8" spans="1:11" x14ac:dyDescent="0.25">
      <c r="A8" s="167">
        <f t="shared" si="7"/>
        <v>5</v>
      </c>
      <c r="B8" s="168">
        <v>20906.16</v>
      </c>
      <c r="C8" s="168">
        <f t="shared" si="0"/>
        <v>42646.475783999995</v>
      </c>
      <c r="D8" s="168">
        <f t="shared" si="1"/>
        <v>3553.8729819999994</v>
      </c>
      <c r="E8" s="168">
        <f t="shared" si="2"/>
        <v>1952.9318945999999</v>
      </c>
      <c r="F8" s="168">
        <f t="shared" si="3"/>
        <v>3269.5631434399997</v>
      </c>
      <c r="G8" s="168">
        <f t="shared" si="4"/>
        <v>12875.848996811819</v>
      </c>
      <c r="H8" s="168">
        <f t="shared" si="5"/>
        <v>47868.970822039992</v>
      </c>
      <c r="I8" s="168">
        <f t="shared" si="6"/>
        <v>60744.819818851814</v>
      </c>
      <c r="J8" s="168">
        <v>5864.13</v>
      </c>
      <c r="K8" s="168">
        <v>4931.47</v>
      </c>
    </row>
    <row r="9" spans="1:11" x14ac:dyDescent="0.25">
      <c r="A9" s="167">
        <f t="shared" si="7"/>
        <v>6</v>
      </c>
      <c r="B9" s="168">
        <v>21181.58</v>
      </c>
      <c r="C9" s="168">
        <f t="shared" si="0"/>
        <v>43208.305042</v>
      </c>
      <c r="D9" s="168">
        <f t="shared" si="1"/>
        <v>3600.6920868333332</v>
      </c>
      <c r="E9" s="168">
        <f t="shared" si="2"/>
        <v>1966.97762605</v>
      </c>
      <c r="F9" s="168">
        <f t="shared" si="3"/>
        <v>3312.6367198866665</v>
      </c>
      <c r="G9" s="168">
        <f t="shared" si="4"/>
        <v>13042.104106266035</v>
      </c>
      <c r="H9" s="168">
        <f t="shared" si="5"/>
        <v>48487.919387936665</v>
      </c>
      <c r="I9" s="168">
        <f t="shared" si="6"/>
        <v>61530.023494202702</v>
      </c>
      <c r="J9" s="168">
        <v>5864.13</v>
      </c>
      <c r="K9" s="168">
        <v>4931.47</v>
      </c>
    </row>
    <row r="10" spans="1:11" x14ac:dyDescent="0.25">
      <c r="A10" s="167">
        <f t="shared" si="7"/>
        <v>7</v>
      </c>
      <c r="B10" s="168">
        <v>21457</v>
      </c>
      <c r="C10" s="168">
        <f t="shared" si="0"/>
        <v>43770.134299999998</v>
      </c>
      <c r="D10" s="168">
        <f t="shared" si="1"/>
        <v>3647.5111916666665</v>
      </c>
      <c r="E10" s="168">
        <f t="shared" si="2"/>
        <v>1981.0233575</v>
      </c>
      <c r="F10" s="168">
        <f t="shared" si="3"/>
        <v>3355.7102963333332</v>
      </c>
      <c r="G10" s="168">
        <f t="shared" si="4"/>
        <v>13208.359215720251</v>
      </c>
      <c r="H10" s="168">
        <f t="shared" si="5"/>
        <v>49106.867953833331</v>
      </c>
      <c r="I10" s="168">
        <f t="shared" si="6"/>
        <v>62315.227169553582</v>
      </c>
      <c r="J10" s="168">
        <v>6517.51</v>
      </c>
      <c r="K10" s="168">
        <v>5478.8</v>
      </c>
    </row>
    <row r="11" spans="1:11" x14ac:dyDescent="0.25">
      <c r="A11" s="167">
        <f t="shared" si="7"/>
        <v>8</v>
      </c>
      <c r="B11" s="168">
        <v>22708.86</v>
      </c>
      <c r="C11" s="168">
        <f t="shared" si="0"/>
        <v>46323.803513999999</v>
      </c>
      <c r="D11" s="168">
        <f t="shared" si="1"/>
        <v>3860.3169594999999</v>
      </c>
      <c r="E11" s="168">
        <f t="shared" si="2"/>
        <v>2044.86508785</v>
      </c>
      <c r="F11" s="168">
        <f t="shared" si="3"/>
        <v>3551.49160274</v>
      </c>
      <c r="G11" s="168">
        <f t="shared" si="4"/>
        <v>13964.034625354094</v>
      </c>
      <c r="H11" s="168">
        <f t="shared" si="5"/>
        <v>51920.16020459</v>
      </c>
      <c r="I11" s="168">
        <f t="shared" si="6"/>
        <v>65884.194829944099</v>
      </c>
      <c r="J11" s="168">
        <v>6517.51</v>
      </c>
      <c r="K11" s="168">
        <v>5478.8</v>
      </c>
    </row>
    <row r="12" spans="1:11" x14ac:dyDescent="0.25">
      <c r="A12" s="167">
        <f t="shared" si="7"/>
        <v>9</v>
      </c>
      <c r="B12" s="168">
        <v>23034.35</v>
      </c>
      <c r="C12" s="168">
        <f t="shared" si="0"/>
        <v>46987.770564999992</v>
      </c>
      <c r="D12" s="168">
        <f t="shared" si="1"/>
        <v>3915.6475470833325</v>
      </c>
      <c r="E12" s="168">
        <f t="shared" si="2"/>
        <v>2061.4642641249998</v>
      </c>
      <c r="F12" s="168">
        <f t="shared" si="3"/>
        <v>3602.3957433166661</v>
      </c>
      <c r="G12" s="168">
        <f t="shared" si="4"/>
        <v>14160.514095168386</v>
      </c>
      <c r="H12" s="168">
        <f t="shared" si="5"/>
        <v>52651.63057244166</v>
      </c>
      <c r="I12" s="168">
        <f t="shared" si="6"/>
        <v>66812.144667610046</v>
      </c>
      <c r="J12" s="168">
        <v>6681.96</v>
      </c>
      <c r="K12" s="168">
        <v>5616.55</v>
      </c>
    </row>
    <row r="13" spans="1:11" x14ac:dyDescent="0.25">
      <c r="A13" s="167">
        <f t="shared" si="7"/>
        <v>10</v>
      </c>
      <c r="B13" s="168">
        <v>23359.84</v>
      </c>
      <c r="C13" s="168">
        <f t="shared" si="0"/>
        <v>47651.737615999999</v>
      </c>
      <c r="D13" s="168">
        <f t="shared" si="1"/>
        <v>3970.9781346666664</v>
      </c>
      <c r="E13" s="168">
        <f t="shared" si="2"/>
        <v>2078.0634404000002</v>
      </c>
      <c r="F13" s="168">
        <f t="shared" si="3"/>
        <v>3653.2998838933331</v>
      </c>
      <c r="G13" s="168">
        <f t="shared" si="4"/>
        <v>14356.99356498268</v>
      </c>
      <c r="H13" s="168">
        <f t="shared" si="5"/>
        <v>53383.100940293334</v>
      </c>
      <c r="I13" s="168">
        <f t="shared" si="6"/>
        <v>67740.094505276007</v>
      </c>
      <c r="J13" s="168">
        <v>6788.46</v>
      </c>
      <c r="K13" s="168">
        <v>5705.76</v>
      </c>
    </row>
    <row r="14" spans="1:11" x14ac:dyDescent="0.25">
      <c r="A14" s="167">
        <f t="shared" si="7"/>
        <v>11</v>
      </c>
      <c r="B14" s="168">
        <v>23685.33</v>
      </c>
      <c r="C14" s="168">
        <f t="shared" si="0"/>
        <v>48315.704666999998</v>
      </c>
      <c r="D14" s="168">
        <f t="shared" si="1"/>
        <v>4026.3087222499998</v>
      </c>
      <c r="E14" s="168">
        <f t="shared" si="2"/>
        <v>2094.6626166750002</v>
      </c>
      <c r="F14" s="168">
        <f t="shared" si="3"/>
        <v>3704.2040244700001</v>
      </c>
      <c r="G14" s="168">
        <f t="shared" si="4"/>
        <v>14553.473034796973</v>
      </c>
      <c r="H14" s="168">
        <f t="shared" si="5"/>
        <v>54114.571308144994</v>
      </c>
      <c r="I14" s="168">
        <f t="shared" si="6"/>
        <v>68668.044342941968</v>
      </c>
      <c r="J14" s="168">
        <v>6951.05</v>
      </c>
      <c r="K14" s="168">
        <v>5841.96</v>
      </c>
    </row>
    <row r="15" spans="1:11" x14ac:dyDescent="0.25">
      <c r="A15" s="167">
        <f t="shared" si="7"/>
        <v>12</v>
      </c>
      <c r="B15" s="168">
        <v>24010.82</v>
      </c>
      <c r="C15" s="168">
        <f t="shared" si="0"/>
        <v>48979.671717999998</v>
      </c>
      <c r="D15" s="168">
        <f t="shared" si="1"/>
        <v>4081.6393098333333</v>
      </c>
      <c r="E15" s="168">
        <f t="shared" si="2"/>
        <v>2111.2617929500002</v>
      </c>
      <c r="F15" s="168">
        <f t="shared" si="3"/>
        <v>3755.1081650466667</v>
      </c>
      <c r="G15" s="168">
        <f t="shared" si="4"/>
        <v>14749.952504611265</v>
      </c>
      <c r="H15" s="168">
        <f t="shared" si="5"/>
        <v>54846.041675996661</v>
      </c>
      <c r="I15" s="168">
        <f t="shared" si="6"/>
        <v>69595.99418060793</v>
      </c>
      <c r="J15" s="168">
        <v>6951.05</v>
      </c>
      <c r="K15" s="168">
        <v>5841.96</v>
      </c>
    </row>
    <row r="16" spans="1:11" x14ac:dyDescent="0.25">
      <c r="A16" s="167">
        <f t="shared" si="7"/>
        <v>13</v>
      </c>
      <c r="B16" s="168">
        <v>24336.31</v>
      </c>
      <c r="C16" s="168">
        <f t="shared" si="0"/>
        <v>49643.638768999997</v>
      </c>
      <c r="D16" s="168">
        <f t="shared" si="1"/>
        <v>4136.9698974166668</v>
      </c>
      <c r="E16" s="168">
        <f t="shared" si="2"/>
        <v>2127.8609692250002</v>
      </c>
      <c r="F16" s="168">
        <f t="shared" si="3"/>
        <v>3806.0123056233338</v>
      </c>
      <c r="G16" s="168">
        <f t="shared" si="4"/>
        <v>14946.431974425559</v>
      </c>
      <c r="H16" s="168">
        <f t="shared" si="5"/>
        <v>55577.512043848335</v>
      </c>
      <c r="I16" s="168">
        <f t="shared" si="6"/>
        <v>70523.944018273891</v>
      </c>
      <c r="J16" s="168">
        <v>7113.61</v>
      </c>
      <c r="K16" s="168">
        <v>5978.14</v>
      </c>
    </row>
    <row r="17" spans="1:11" x14ac:dyDescent="0.25">
      <c r="A17" s="167">
        <f t="shared" si="7"/>
        <v>14</v>
      </c>
      <c r="B17" s="168">
        <v>24661.8</v>
      </c>
      <c r="C17" s="168">
        <f t="shared" si="0"/>
        <v>50307.605819999997</v>
      </c>
      <c r="D17" s="168">
        <f t="shared" si="1"/>
        <v>4192.3004849999998</v>
      </c>
      <c r="E17" s="168">
        <f t="shared" si="2"/>
        <v>2144.4601455000002</v>
      </c>
      <c r="F17" s="168">
        <f t="shared" si="3"/>
        <v>3856.9164461999999</v>
      </c>
      <c r="G17" s="168">
        <f t="shared" si="4"/>
        <v>15142.91144423985</v>
      </c>
      <c r="H17" s="168">
        <f t="shared" si="5"/>
        <v>56308.982411699995</v>
      </c>
      <c r="I17" s="168">
        <f t="shared" si="6"/>
        <v>71451.893855939852</v>
      </c>
      <c r="J17" s="168">
        <v>7113.61</v>
      </c>
      <c r="K17" s="168">
        <v>5978.14</v>
      </c>
    </row>
    <row r="18" spans="1:11" x14ac:dyDescent="0.25">
      <c r="A18" s="167">
        <f t="shared" si="7"/>
        <v>15</v>
      </c>
      <c r="B18" s="168">
        <v>24837.07</v>
      </c>
      <c r="C18" s="168">
        <f t="shared" si="0"/>
        <v>50665.139092999998</v>
      </c>
      <c r="D18" s="168">
        <f t="shared" si="1"/>
        <v>4222.0949244166668</v>
      </c>
      <c r="E18" s="168">
        <f t="shared" si="2"/>
        <v>2153.3984773249999</v>
      </c>
      <c r="F18" s="168">
        <f t="shared" si="3"/>
        <v>3884.3273304633335</v>
      </c>
      <c r="G18" s="168">
        <f t="shared" si="4"/>
        <v>15248.711796552827</v>
      </c>
      <c r="H18" s="168">
        <f t="shared" si="5"/>
        <v>56702.864900788329</v>
      </c>
      <c r="I18" s="168">
        <f t="shared" si="6"/>
        <v>71951.576697341152</v>
      </c>
      <c r="J18" s="168">
        <v>7282.53</v>
      </c>
      <c r="K18" s="168">
        <v>6119.63</v>
      </c>
    </row>
    <row r="19" spans="1:11" x14ac:dyDescent="0.25">
      <c r="A19" s="167">
        <f t="shared" si="7"/>
        <v>16</v>
      </c>
      <c r="B19" s="168">
        <v>25012.34</v>
      </c>
      <c r="C19" s="168">
        <f t="shared" si="0"/>
        <v>51022.672365999999</v>
      </c>
      <c r="D19" s="168">
        <f t="shared" si="1"/>
        <v>4251.8893638333329</v>
      </c>
      <c r="E19" s="168">
        <f t="shared" si="2"/>
        <v>2162.3368091500001</v>
      </c>
      <c r="F19" s="168">
        <f t="shared" si="3"/>
        <v>3911.7382147266667</v>
      </c>
      <c r="G19" s="168">
        <f t="shared" si="4"/>
        <v>15354.512148865806</v>
      </c>
      <c r="H19" s="168">
        <f t="shared" si="5"/>
        <v>57096.747389876669</v>
      </c>
      <c r="I19" s="168">
        <f t="shared" si="6"/>
        <v>72451.259538742481</v>
      </c>
      <c r="J19" s="168">
        <v>7836.19</v>
      </c>
      <c r="K19" s="168">
        <v>6583.42</v>
      </c>
    </row>
    <row r="20" spans="1:11" x14ac:dyDescent="0.25">
      <c r="A20" s="167">
        <f>A19+1</f>
        <v>17</v>
      </c>
      <c r="B20" s="168">
        <v>25187.61</v>
      </c>
      <c r="C20" s="168">
        <f t="shared" si="0"/>
        <v>51380.205639</v>
      </c>
      <c r="D20" s="168">
        <f t="shared" si="1"/>
        <v>4281.68380325</v>
      </c>
      <c r="E20" s="168">
        <f t="shared" si="2"/>
        <v>2171.2751409749999</v>
      </c>
      <c r="F20" s="168">
        <f t="shared" si="3"/>
        <v>3939.1490989900003</v>
      </c>
      <c r="G20" s="168">
        <f t="shared" si="4"/>
        <v>15460.312501178783</v>
      </c>
      <c r="H20" s="168">
        <f t="shared" si="5"/>
        <v>57490.629878964995</v>
      </c>
      <c r="I20" s="168">
        <f t="shared" si="6"/>
        <v>72950.942380143781</v>
      </c>
      <c r="J20" s="168">
        <v>7998.76</v>
      </c>
      <c r="K20" s="168">
        <v>6719.6</v>
      </c>
    </row>
    <row r="21" spans="1:11" x14ac:dyDescent="0.25">
      <c r="A21" s="167">
        <f t="shared" si="7"/>
        <v>18</v>
      </c>
      <c r="B21" s="168">
        <v>25362.880000000001</v>
      </c>
      <c r="C21" s="168">
        <f t="shared" si="0"/>
        <v>51737.738912000001</v>
      </c>
      <c r="D21" s="168">
        <f t="shared" si="1"/>
        <v>4311.478242666667</v>
      </c>
      <c r="E21" s="168">
        <f t="shared" si="2"/>
        <v>2180.2134728000001</v>
      </c>
      <c r="F21" s="168">
        <f t="shared" si="3"/>
        <v>3966.5599832533339</v>
      </c>
      <c r="G21" s="168">
        <f t="shared" si="4"/>
        <v>15566.112853491761</v>
      </c>
      <c r="H21" s="168">
        <f t="shared" si="5"/>
        <v>57884.512368053336</v>
      </c>
      <c r="I21" s="168">
        <f t="shared" si="6"/>
        <v>73450.625221545095</v>
      </c>
      <c r="J21" s="168">
        <v>7999.35</v>
      </c>
      <c r="K21" s="168">
        <v>6720.09</v>
      </c>
    </row>
    <row r="22" spans="1:11" x14ac:dyDescent="0.25">
      <c r="A22" s="167">
        <f t="shared" si="7"/>
        <v>19</v>
      </c>
      <c r="B22" s="168">
        <v>25538.15</v>
      </c>
      <c r="C22" s="168">
        <f t="shared" si="0"/>
        <v>52095.272185000002</v>
      </c>
      <c r="D22" s="168">
        <f t="shared" si="1"/>
        <v>4341.2726820833332</v>
      </c>
      <c r="E22" s="168">
        <f t="shared" si="2"/>
        <v>2189.1518046250003</v>
      </c>
      <c r="F22" s="168">
        <f t="shared" si="3"/>
        <v>3993.9708675166667</v>
      </c>
      <c r="G22" s="168">
        <f t="shared" si="4"/>
        <v>15671.913205804738</v>
      </c>
      <c r="H22" s="168">
        <f t="shared" si="5"/>
        <v>58278.394857141669</v>
      </c>
      <c r="I22" s="168">
        <f t="shared" si="6"/>
        <v>73950.308062946409</v>
      </c>
      <c r="J22" s="168">
        <v>8163.13</v>
      </c>
      <c r="K22" s="168">
        <v>6857.28</v>
      </c>
    </row>
    <row r="23" spans="1:11" x14ac:dyDescent="0.25">
      <c r="A23" s="167">
        <f t="shared" si="7"/>
        <v>20</v>
      </c>
      <c r="B23" s="168">
        <v>25713.42</v>
      </c>
      <c r="C23" s="168">
        <f t="shared" si="0"/>
        <v>52452.805457999995</v>
      </c>
      <c r="D23" s="168">
        <f t="shared" si="1"/>
        <v>4371.0671214999993</v>
      </c>
      <c r="E23" s="168">
        <f t="shared" si="2"/>
        <v>2198.09013645</v>
      </c>
      <c r="F23" s="168">
        <f t="shared" si="3"/>
        <v>4021.3817517799994</v>
      </c>
      <c r="G23" s="168">
        <f t="shared" si="4"/>
        <v>15777.713558117715</v>
      </c>
      <c r="H23" s="168">
        <f t="shared" si="5"/>
        <v>58672.277346229996</v>
      </c>
      <c r="I23" s="168">
        <f t="shared" si="6"/>
        <v>74449.990904347709</v>
      </c>
      <c r="J23" s="168">
        <v>8184.44</v>
      </c>
      <c r="K23" s="168">
        <v>6875.13</v>
      </c>
    </row>
    <row r="24" spans="1:11" x14ac:dyDescent="0.25">
      <c r="A24" s="167">
        <f t="shared" si="7"/>
        <v>21</v>
      </c>
      <c r="B24" s="168">
        <v>25888.69</v>
      </c>
      <c r="C24" s="168">
        <f t="shared" si="0"/>
        <v>52810.338730999996</v>
      </c>
      <c r="D24" s="168">
        <f t="shared" si="1"/>
        <v>4400.8615609166663</v>
      </c>
      <c r="E24" s="168">
        <f t="shared" si="2"/>
        <v>2207.0284682749998</v>
      </c>
      <c r="F24" s="168">
        <f t="shared" si="3"/>
        <v>4048.792636043333</v>
      </c>
      <c r="G24" s="168">
        <f t="shared" si="4"/>
        <v>15883.513910430691</v>
      </c>
      <c r="H24" s="168">
        <f t="shared" si="5"/>
        <v>59066.159835318329</v>
      </c>
      <c r="I24" s="168">
        <f t="shared" si="6"/>
        <v>74949.673745749024</v>
      </c>
      <c r="J24" s="168">
        <v>8326.91</v>
      </c>
      <c r="K24" s="168">
        <v>6994.49</v>
      </c>
    </row>
    <row r="25" spans="1:11" x14ac:dyDescent="0.25">
      <c r="A25" s="167">
        <f t="shared" si="7"/>
        <v>22</v>
      </c>
      <c r="B25" s="168">
        <v>26063.96</v>
      </c>
      <c r="C25" s="168">
        <f t="shared" si="0"/>
        <v>53167.872003999997</v>
      </c>
      <c r="D25" s="168">
        <f t="shared" si="1"/>
        <v>4430.6560003333334</v>
      </c>
      <c r="E25" s="168">
        <f t="shared" si="2"/>
        <v>2215.9668001</v>
      </c>
      <c r="F25" s="168">
        <f t="shared" si="3"/>
        <v>4076.2035203066671</v>
      </c>
      <c r="G25" s="168">
        <f t="shared" si="4"/>
        <v>15989.31426274367</v>
      </c>
      <c r="H25" s="168">
        <f t="shared" si="5"/>
        <v>59460.04232440667</v>
      </c>
      <c r="I25" s="168">
        <f t="shared" si="6"/>
        <v>75449.356587150338</v>
      </c>
      <c r="J25" s="168">
        <v>8326.91</v>
      </c>
      <c r="K25" s="168">
        <v>6994.49</v>
      </c>
    </row>
    <row r="26" spans="1:11" x14ac:dyDescent="0.25">
      <c r="A26" s="167">
        <f t="shared" si="7"/>
        <v>23</v>
      </c>
      <c r="B26" s="168">
        <v>26239.23</v>
      </c>
      <c r="C26" s="168">
        <f t="shared" si="0"/>
        <v>53525.405276999998</v>
      </c>
      <c r="D26" s="168">
        <f t="shared" si="1"/>
        <v>4460.4504397499995</v>
      </c>
      <c r="E26" s="168">
        <f t="shared" si="2"/>
        <v>2224.9051319250002</v>
      </c>
      <c r="F26" s="168">
        <f t="shared" si="3"/>
        <v>4103.6144045699994</v>
      </c>
      <c r="G26" s="168">
        <f t="shared" si="4"/>
        <v>16095.114615056647</v>
      </c>
      <c r="H26" s="168">
        <f t="shared" si="5"/>
        <v>59853.924813494996</v>
      </c>
      <c r="I26" s="168">
        <f t="shared" si="6"/>
        <v>75949.039428551638</v>
      </c>
      <c r="J26" s="168">
        <v>8490.7000000000007</v>
      </c>
      <c r="K26" s="168">
        <v>7131.68</v>
      </c>
    </row>
    <row r="27" spans="1:11" x14ac:dyDescent="0.25">
      <c r="A27" s="167">
        <f t="shared" si="7"/>
        <v>24</v>
      </c>
      <c r="B27" s="168">
        <v>26414.5</v>
      </c>
      <c r="C27" s="168">
        <f t="shared" si="0"/>
        <v>53882.938549999999</v>
      </c>
      <c r="D27" s="168">
        <f t="shared" si="1"/>
        <v>4490.2448791666666</v>
      </c>
      <c r="E27" s="168">
        <f t="shared" si="2"/>
        <v>2233.84346375</v>
      </c>
      <c r="F27" s="168">
        <f t="shared" si="3"/>
        <v>4131.0252888333334</v>
      </c>
      <c r="G27" s="168">
        <f t="shared" si="4"/>
        <v>16200.914967369627</v>
      </c>
      <c r="H27" s="168">
        <f t="shared" si="5"/>
        <v>60247.807302583336</v>
      </c>
      <c r="I27" s="168">
        <f t="shared" si="6"/>
        <v>76448.722269952967</v>
      </c>
      <c r="J27" s="168">
        <v>8490.7000000000007</v>
      </c>
      <c r="K27" s="168">
        <v>7131.68</v>
      </c>
    </row>
    <row r="28" spans="1:11" x14ac:dyDescent="0.25">
      <c r="A28" s="167">
        <f t="shared" si="7"/>
        <v>25</v>
      </c>
      <c r="B28" s="168">
        <v>26589.77</v>
      </c>
      <c r="C28" s="168">
        <f t="shared" si="0"/>
        <v>54240.471823</v>
      </c>
      <c r="D28" s="168">
        <f t="shared" si="1"/>
        <v>4520.0393185833336</v>
      </c>
      <c r="E28" s="168">
        <f t="shared" si="2"/>
        <v>2242.7817955750002</v>
      </c>
      <c r="F28" s="168">
        <f t="shared" si="3"/>
        <v>4158.4361730966675</v>
      </c>
      <c r="G28" s="168">
        <f t="shared" si="4"/>
        <v>16306.715319682604</v>
      </c>
      <c r="H28" s="168">
        <f t="shared" si="5"/>
        <v>60641.68979167167</v>
      </c>
      <c r="I28" s="168">
        <f t="shared" si="6"/>
        <v>76948.405111354281</v>
      </c>
      <c r="J28" s="168">
        <v>8654.4699999999993</v>
      </c>
      <c r="K28" s="168">
        <v>7268.88</v>
      </c>
    </row>
    <row r="29" spans="1:11" x14ac:dyDescent="0.25">
      <c r="J29" s="168">
        <v>8654.4699999999993</v>
      </c>
      <c r="K29" s="168">
        <v>7268.88</v>
      </c>
    </row>
    <row r="30" spans="1:11" x14ac:dyDescent="0.25">
      <c r="J30" s="168">
        <v>8818.25</v>
      </c>
      <c r="K30" s="168">
        <v>7406.07</v>
      </c>
    </row>
    <row r="31" spans="1:11" x14ac:dyDescent="0.25">
      <c r="J31" s="168">
        <v>8818.25</v>
      </c>
      <c r="K31" s="168">
        <v>7406.07</v>
      </c>
    </row>
    <row r="32" spans="1:11" x14ac:dyDescent="0.25">
      <c r="J32" s="168">
        <v>8840.27</v>
      </c>
      <c r="K32" s="168">
        <v>7424.51</v>
      </c>
    </row>
    <row r="33" spans="10:11" x14ac:dyDescent="0.25">
      <c r="J33" s="168">
        <v>8840.27</v>
      </c>
      <c r="K33" s="168">
        <v>7424.51</v>
      </c>
    </row>
    <row r="34" spans="10:11" x14ac:dyDescent="0.25">
      <c r="J34" s="168">
        <v>8840.27</v>
      </c>
      <c r="K34" s="168">
        <v>7424.51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7149-8B10-48B4-8ADA-FD0CB024EF7B}">
  <sheetPr>
    <tabColor theme="7" tint="0.79998168889431442"/>
  </sheetPr>
  <dimension ref="A1:K34"/>
  <sheetViews>
    <sheetView workbookViewId="0">
      <selection activeCell="M2" sqref="M2"/>
    </sheetView>
  </sheetViews>
  <sheetFormatPr baseColWidth="10" defaultColWidth="11.42578125" defaultRowHeight="15" x14ac:dyDescent="0.25"/>
  <cols>
    <col min="1" max="1" width="11.42578125" style="167"/>
    <col min="2" max="2" width="16" style="168" customWidth="1"/>
    <col min="3" max="3" width="14.7109375" style="168" customWidth="1"/>
    <col min="4" max="4" width="17.85546875" style="168" customWidth="1"/>
    <col min="5" max="5" width="11.42578125" style="168"/>
    <col min="6" max="6" width="14.7109375" style="168" bestFit="1" customWidth="1"/>
    <col min="7" max="7" width="14.7109375" style="168" customWidth="1"/>
    <col min="8" max="8" width="20.7109375" style="168" customWidth="1"/>
    <col min="9" max="9" width="18" style="168" customWidth="1"/>
    <col min="10" max="10" width="14.5703125" style="168" customWidth="1"/>
    <col min="11" max="11" width="15.5703125" style="168" customWidth="1"/>
    <col min="12" max="16384" width="11.42578125" style="168"/>
  </cols>
  <sheetData>
    <row r="1" spans="1:11" s="163" customFormat="1" ht="37.5" customHeight="1" x14ac:dyDescent="0.25">
      <c r="A1" s="159" t="s">
        <v>295</v>
      </c>
      <c r="B1" s="160" t="s">
        <v>296</v>
      </c>
      <c r="C1" s="161" t="s">
        <v>276</v>
      </c>
      <c r="D1" s="162">
        <v>2.0398999999999998</v>
      </c>
    </row>
    <row r="2" spans="1:11" s="166" customFormat="1" ht="60" x14ac:dyDescent="0.25">
      <c r="A2" s="164" t="s">
        <v>142</v>
      </c>
      <c r="B2" s="165" t="s">
        <v>290</v>
      </c>
      <c r="C2" s="165" t="s">
        <v>297</v>
      </c>
      <c r="D2" s="165" t="s">
        <v>294</v>
      </c>
      <c r="E2" s="165" t="s">
        <v>148</v>
      </c>
      <c r="F2" s="165" t="s">
        <v>280</v>
      </c>
      <c r="G2" s="165" t="s">
        <v>281</v>
      </c>
      <c r="H2" s="165" t="s">
        <v>283</v>
      </c>
      <c r="I2" s="165" t="s">
        <v>284</v>
      </c>
      <c r="J2" s="174" t="s">
        <v>300</v>
      </c>
      <c r="K2" s="174" t="s">
        <v>301</v>
      </c>
    </row>
    <row r="3" spans="1:11" x14ac:dyDescent="0.25">
      <c r="A3" s="167">
        <v>0</v>
      </c>
      <c r="B3" s="168">
        <v>21281.66</v>
      </c>
      <c r="C3" s="168">
        <f t="shared" ref="C3:C28" si="0">B3*$D$1</f>
        <v>43412.458233999998</v>
      </c>
      <c r="D3" s="168">
        <f>C3/12</f>
        <v>3617.704852833333</v>
      </c>
      <c r="E3" s="168">
        <f>(886.77+(0.025*C3))</f>
        <v>1972.0814558499999</v>
      </c>
      <c r="F3" s="168">
        <f>(C3/12)*92%</f>
        <v>3328.2884646066664</v>
      </c>
      <c r="G3" s="168">
        <f>(C3+E3)*28.87%</f>
        <v>13102.516608459695</v>
      </c>
      <c r="H3" s="168">
        <f>C3+E3+F3</f>
        <v>48712.828154456663</v>
      </c>
      <c r="I3" s="168">
        <f>G3+H3</f>
        <v>61815.344762916357</v>
      </c>
      <c r="J3" s="168">
        <v>5277.71</v>
      </c>
      <c r="K3" s="168">
        <v>4440.26</v>
      </c>
    </row>
    <row r="4" spans="1:11" x14ac:dyDescent="0.25">
      <c r="A4" s="167">
        <f>A3+1</f>
        <v>1</v>
      </c>
      <c r="B4" s="168">
        <v>21607.15</v>
      </c>
      <c r="C4" s="168">
        <f t="shared" si="0"/>
        <v>44076.425284999998</v>
      </c>
      <c r="D4" s="168">
        <f t="shared" ref="D4:D28" si="1">C4/12</f>
        <v>3673.0354404166665</v>
      </c>
      <c r="E4" s="168">
        <f t="shared" ref="E4:E28" si="2">(886.77+(0.025*C4))</f>
        <v>1988.6806321249999</v>
      </c>
      <c r="F4" s="168">
        <f t="shared" ref="F4:F28" si="3">(C4/12)*92%</f>
        <v>3379.1926051833334</v>
      </c>
      <c r="G4" s="168">
        <f t="shared" ref="G4:G28" si="4">(C4+E4)*28.87%</f>
        <v>13298.996078273987</v>
      </c>
      <c r="H4" s="168">
        <f t="shared" ref="H4:H28" si="5">C4+E4+F4</f>
        <v>49444.298522308331</v>
      </c>
      <c r="I4" s="168">
        <f t="shared" ref="I4:I28" si="6">G4+H4</f>
        <v>62743.294600582318</v>
      </c>
      <c r="J4" s="168">
        <v>5428.4</v>
      </c>
      <c r="K4" s="168">
        <v>4566.47</v>
      </c>
    </row>
    <row r="5" spans="1:11" x14ac:dyDescent="0.25">
      <c r="A5" s="167">
        <f t="shared" ref="A5:A28" si="7">A4+1</f>
        <v>2</v>
      </c>
      <c r="B5" s="168">
        <v>21932.639999999999</v>
      </c>
      <c r="C5" s="168">
        <f t="shared" si="0"/>
        <v>44740.392335999997</v>
      </c>
      <c r="D5" s="168">
        <f t="shared" si="1"/>
        <v>3728.3660279999999</v>
      </c>
      <c r="E5" s="168">
        <f t="shared" si="2"/>
        <v>2005.2798083999999</v>
      </c>
      <c r="F5" s="168">
        <f t="shared" si="3"/>
        <v>3430.09674576</v>
      </c>
      <c r="G5" s="168">
        <f t="shared" si="4"/>
        <v>13495.47554808828</v>
      </c>
      <c r="H5" s="168">
        <f t="shared" si="5"/>
        <v>50175.768890159998</v>
      </c>
      <c r="I5" s="168">
        <f t="shared" si="6"/>
        <v>63671.244438248279</v>
      </c>
      <c r="J5" s="168">
        <v>5448.52</v>
      </c>
      <c r="K5" s="168">
        <v>4583.33</v>
      </c>
    </row>
    <row r="6" spans="1:11" x14ac:dyDescent="0.25">
      <c r="A6" s="167">
        <f t="shared" si="7"/>
        <v>3</v>
      </c>
      <c r="B6" s="168">
        <v>22258.13</v>
      </c>
      <c r="C6" s="168">
        <f t="shared" si="0"/>
        <v>45404.359386999997</v>
      </c>
      <c r="D6" s="168">
        <f t="shared" si="1"/>
        <v>3783.6966155833329</v>
      </c>
      <c r="E6" s="168">
        <f t="shared" si="2"/>
        <v>2021.8789846749999</v>
      </c>
      <c r="F6" s="168">
        <f t="shared" si="3"/>
        <v>3481.0008863366666</v>
      </c>
      <c r="G6" s="168">
        <f t="shared" si="4"/>
        <v>13691.955017902572</v>
      </c>
      <c r="H6" s="168">
        <f t="shared" si="5"/>
        <v>50907.239258011665</v>
      </c>
      <c r="I6" s="168">
        <f t="shared" si="6"/>
        <v>64599.19427591424</v>
      </c>
      <c r="J6" s="168">
        <v>5698.17</v>
      </c>
      <c r="K6" s="168">
        <v>4792.45</v>
      </c>
    </row>
    <row r="7" spans="1:11" x14ac:dyDescent="0.25">
      <c r="A7" s="167">
        <f t="shared" si="7"/>
        <v>4</v>
      </c>
      <c r="B7" s="168">
        <v>22583.62</v>
      </c>
      <c r="C7" s="168">
        <f t="shared" si="0"/>
        <v>46068.326437999996</v>
      </c>
      <c r="D7" s="168">
        <f t="shared" si="1"/>
        <v>3839.0272031666664</v>
      </c>
      <c r="E7" s="168">
        <f t="shared" si="2"/>
        <v>2038.4781609499998</v>
      </c>
      <c r="F7" s="168">
        <f t="shared" si="3"/>
        <v>3531.9050269133331</v>
      </c>
      <c r="G7" s="168">
        <f t="shared" si="4"/>
        <v>13888.434487716864</v>
      </c>
      <c r="H7" s="168">
        <f t="shared" si="5"/>
        <v>51638.709625863325</v>
      </c>
      <c r="I7" s="168">
        <f t="shared" si="6"/>
        <v>65527.144113580187</v>
      </c>
      <c r="J7" s="168">
        <v>5698.17</v>
      </c>
      <c r="K7" s="168">
        <v>4792.45</v>
      </c>
    </row>
    <row r="8" spans="1:11" x14ac:dyDescent="0.25">
      <c r="A8" s="167">
        <f t="shared" si="7"/>
        <v>5</v>
      </c>
      <c r="B8" s="168">
        <v>22909.11</v>
      </c>
      <c r="C8" s="168">
        <f t="shared" si="0"/>
        <v>46732.293488999996</v>
      </c>
      <c r="D8" s="168">
        <f t="shared" si="1"/>
        <v>3894.3577907499998</v>
      </c>
      <c r="E8" s="168">
        <f t="shared" si="2"/>
        <v>2055.0773372249996</v>
      </c>
      <c r="F8" s="168">
        <f t="shared" si="3"/>
        <v>3582.8091674900002</v>
      </c>
      <c r="G8" s="168">
        <f t="shared" si="4"/>
        <v>14084.913957531156</v>
      </c>
      <c r="H8" s="168">
        <f t="shared" si="5"/>
        <v>52370.179993714992</v>
      </c>
      <c r="I8" s="168">
        <f t="shared" si="6"/>
        <v>66455.093951246148</v>
      </c>
      <c r="J8" s="168">
        <v>5864.13</v>
      </c>
      <c r="K8" s="168">
        <v>4931.47</v>
      </c>
    </row>
    <row r="9" spans="1:11" x14ac:dyDescent="0.25">
      <c r="A9" s="167">
        <f t="shared" si="7"/>
        <v>6</v>
      </c>
      <c r="B9" s="168">
        <v>23234.6</v>
      </c>
      <c r="C9" s="168">
        <f t="shared" si="0"/>
        <v>47396.260539999996</v>
      </c>
      <c r="D9" s="168">
        <f t="shared" si="1"/>
        <v>3949.6883783333328</v>
      </c>
      <c r="E9" s="168">
        <f t="shared" si="2"/>
        <v>2071.6765134999996</v>
      </c>
      <c r="F9" s="168">
        <f t="shared" si="3"/>
        <v>3633.7133080666663</v>
      </c>
      <c r="G9" s="168">
        <f t="shared" si="4"/>
        <v>14281.393427345451</v>
      </c>
      <c r="H9" s="168">
        <f t="shared" si="5"/>
        <v>53101.650361566666</v>
      </c>
      <c r="I9" s="168">
        <f t="shared" si="6"/>
        <v>67383.043788912124</v>
      </c>
      <c r="J9" s="168">
        <v>5864.13</v>
      </c>
      <c r="K9" s="168">
        <v>4931.47</v>
      </c>
    </row>
    <row r="10" spans="1:11" x14ac:dyDescent="0.25">
      <c r="A10" s="167">
        <f t="shared" si="7"/>
        <v>7</v>
      </c>
      <c r="B10" s="168">
        <v>23560.09</v>
      </c>
      <c r="C10" s="168">
        <f t="shared" si="0"/>
        <v>48060.227590999995</v>
      </c>
      <c r="D10" s="168">
        <f t="shared" si="1"/>
        <v>4005.0189659166663</v>
      </c>
      <c r="E10" s="168">
        <f t="shared" si="2"/>
        <v>2088.2756897749996</v>
      </c>
      <c r="F10" s="168">
        <f t="shared" si="3"/>
        <v>3684.6174486433333</v>
      </c>
      <c r="G10" s="168">
        <f t="shared" si="4"/>
        <v>14477.872897159741</v>
      </c>
      <c r="H10" s="168">
        <f t="shared" si="5"/>
        <v>53833.120729418326</v>
      </c>
      <c r="I10" s="168">
        <f t="shared" si="6"/>
        <v>68310.993626578071</v>
      </c>
      <c r="J10" s="168">
        <v>6517.51</v>
      </c>
      <c r="K10" s="168">
        <v>5478.8</v>
      </c>
    </row>
    <row r="11" spans="1:11" x14ac:dyDescent="0.25">
      <c r="A11" s="167">
        <f t="shared" si="7"/>
        <v>8</v>
      </c>
      <c r="B11" s="168">
        <v>24811.95</v>
      </c>
      <c r="C11" s="168">
        <f t="shared" si="0"/>
        <v>50613.896804999997</v>
      </c>
      <c r="D11" s="168">
        <f t="shared" si="1"/>
        <v>4217.8247337499997</v>
      </c>
      <c r="E11" s="168">
        <f t="shared" si="2"/>
        <v>2152.1174201250001</v>
      </c>
      <c r="F11" s="168">
        <f t="shared" si="3"/>
        <v>3880.3987550500001</v>
      </c>
      <c r="G11" s="168">
        <f t="shared" si="4"/>
        <v>15233.548306793587</v>
      </c>
      <c r="H11" s="168">
        <f t="shared" si="5"/>
        <v>56646.412980175002</v>
      </c>
      <c r="I11" s="168">
        <f t="shared" si="6"/>
        <v>71879.961286968595</v>
      </c>
      <c r="J11" s="168">
        <v>6517.51</v>
      </c>
      <c r="K11" s="168">
        <v>5478.8</v>
      </c>
    </row>
    <row r="12" spans="1:11" x14ac:dyDescent="0.25">
      <c r="A12" s="167">
        <f t="shared" si="7"/>
        <v>9</v>
      </c>
      <c r="B12" s="168">
        <v>25137.439999999999</v>
      </c>
      <c r="C12" s="168">
        <f t="shared" si="0"/>
        <v>51277.863855999996</v>
      </c>
      <c r="D12" s="168">
        <f t="shared" si="1"/>
        <v>4273.1553213333327</v>
      </c>
      <c r="E12" s="168">
        <f t="shared" si="2"/>
        <v>2168.7165964000001</v>
      </c>
      <c r="F12" s="168">
        <f t="shared" si="3"/>
        <v>3931.3028956266662</v>
      </c>
      <c r="G12" s="168">
        <f t="shared" si="4"/>
        <v>15430.02777660788</v>
      </c>
      <c r="H12" s="168">
        <f t="shared" si="5"/>
        <v>57377.883348026662</v>
      </c>
      <c r="I12" s="168">
        <f t="shared" si="6"/>
        <v>72807.911124634542</v>
      </c>
      <c r="J12" s="168">
        <v>6681.96</v>
      </c>
      <c r="K12" s="168">
        <v>5616.55</v>
      </c>
    </row>
    <row r="13" spans="1:11" x14ac:dyDescent="0.25">
      <c r="A13" s="167">
        <f t="shared" si="7"/>
        <v>10</v>
      </c>
      <c r="B13" s="168">
        <v>25462.93</v>
      </c>
      <c r="C13" s="168">
        <f t="shared" si="0"/>
        <v>51941.830906999996</v>
      </c>
      <c r="D13" s="168">
        <f t="shared" si="1"/>
        <v>4328.4859089166666</v>
      </c>
      <c r="E13" s="168">
        <f t="shared" si="2"/>
        <v>2185.3157726750001</v>
      </c>
      <c r="F13" s="168">
        <f t="shared" si="3"/>
        <v>3982.2070362033337</v>
      </c>
      <c r="G13" s="168">
        <f t="shared" si="4"/>
        <v>15626.507246422172</v>
      </c>
      <c r="H13" s="168">
        <f t="shared" si="5"/>
        <v>58109.353715878329</v>
      </c>
      <c r="I13" s="168">
        <f t="shared" si="6"/>
        <v>73735.860962300503</v>
      </c>
      <c r="J13" s="168">
        <v>6788.46</v>
      </c>
      <c r="K13" s="168">
        <v>5705.76</v>
      </c>
    </row>
    <row r="14" spans="1:11" x14ac:dyDescent="0.25">
      <c r="A14" s="167">
        <f t="shared" si="7"/>
        <v>11</v>
      </c>
      <c r="B14" s="168">
        <v>25788.42</v>
      </c>
      <c r="C14" s="168">
        <f t="shared" si="0"/>
        <v>52605.797957999988</v>
      </c>
      <c r="D14" s="168">
        <f t="shared" si="1"/>
        <v>4383.8164964999987</v>
      </c>
      <c r="E14" s="168">
        <f t="shared" si="2"/>
        <v>2201.9149489499996</v>
      </c>
      <c r="F14" s="168">
        <f t="shared" si="3"/>
        <v>4033.1111767799989</v>
      </c>
      <c r="G14" s="168">
        <f t="shared" si="4"/>
        <v>15822.986716236461</v>
      </c>
      <c r="H14" s="168">
        <f t="shared" si="5"/>
        <v>58840.824083729982</v>
      </c>
      <c r="I14" s="168">
        <f t="shared" si="6"/>
        <v>74663.81079996645</v>
      </c>
      <c r="J14" s="168">
        <v>6951.05</v>
      </c>
      <c r="K14" s="168">
        <v>5841.96</v>
      </c>
    </row>
    <row r="15" spans="1:11" x14ac:dyDescent="0.25">
      <c r="A15" s="167">
        <f t="shared" si="7"/>
        <v>12</v>
      </c>
      <c r="B15" s="168">
        <v>26113.91</v>
      </c>
      <c r="C15" s="168">
        <f t="shared" si="0"/>
        <v>53269.765008999995</v>
      </c>
      <c r="D15" s="168">
        <f t="shared" si="1"/>
        <v>4439.1470840833326</v>
      </c>
      <c r="E15" s="168">
        <f t="shared" si="2"/>
        <v>2218.514125225</v>
      </c>
      <c r="F15" s="168">
        <f t="shared" si="3"/>
        <v>4084.0153173566664</v>
      </c>
      <c r="G15" s="168">
        <f t="shared" si="4"/>
        <v>16019.466186050759</v>
      </c>
      <c r="H15" s="168">
        <f t="shared" si="5"/>
        <v>59572.294451581663</v>
      </c>
      <c r="I15" s="168">
        <f t="shared" si="6"/>
        <v>75591.760637632426</v>
      </c>
      <c r="J15" s="168">
        <v>6951.05</v>
      </c>
      <c r="K15" s="168">
        <v>5841.96</v>
      </c>
    </row>
    <row r="16" spans="1:11" x14ac:dyDescent="0.25">
      <c r="A16" s="167">
        <f t="shared" si="7"/>
        <v>13</v>
      </c>
      <c r="B16" s="168">
        <v>26439.4</v>
      </c>
      <c r="C16" s="168">
        <f t="shared" si="0"/>
        <v>53933.732059999995</v>
      </c>
      <c r="D16" s="168">
        <f t="shared" si="1"/>
        <v>4494.4776716666665</v>
      </c>
      <c r="E16" s="168">
        <f t="shared" si="2"/>
        <v>2235.1133015</v>
      </c>
      <c r="F16" s="168">
        <f t="shared" si="3"/>
        <v>4134.9194579333334</v>
      </c>
      <c r="G16" s="168">
        <f t="shared" si="4"/>
        <v>16215.945655865049</v>
      </c>
      <c r="H16" s="168">
        <f t="shared" si="5"/>
        <v>60303.764819433331</v>
      </c>
      <c r="I16" s="168">
        <f t="shared" si="6"/>
        <v>76519.710475298372</v>
      </c>
      <c r="J16" s="168">
        <v>7113.61</v>
      </c>
      <c r="K16" s="168">
        <v>5978.14</v>
      </c>
    </row>
    <row r="17" spans="1:11" x14ac:dyDescent="0.25">
      <c r="A17" s="167">
        <f t="shared" si="7"/>
        <v>14</v>
      </c>
      <c r="B17" s="168">
        <v>26764.89</v>
      </c>
      <c r="C17" s="168">
        <f t="shared" si="0"/>
        <v>54597.699110999994</v>
      </c>
      <c r="D17" s="168">
        <f t="shared" si="1"/>
        <v>4549.8082592499995</v>
      </c>
      <c r="E17" s="168">
        <f t="shared" si="2"/>
        <v>2251.712477775</v>
      </c>
      <c r="F17" s="168">
        <f t="shared" si="3"/>
        <v>4185.82359851</v>
      </c>
      <c r="G17" s="168">
        <f t="shared" si="4"/>
        <v>16412.425125679343</v>
      </c>
      <c r="H17" s="168">
        <f t="shared" si="5"/>
        <v>61035.235187284998</v>
      </c>
      <c r="I17" s="168">
        <f t="shared" si="6"/>
        <v>77447.660312964348</v>
      </c>
      <c r="J17" s="168">
        <v>7113.61</v>
      </c>
      <c r="K17" s="168">
        <v>5978.14</v>
      </c>
    </row>
    <row r="18" spans="1:11" x14ac:dyDescent="0.25">
      <c r="A18" s="167">
        <f t="shared" si="7"/>
        <v>15</v>
      </c>
      <c r="B18" s="168">
        <v>26977.71</v>
      </c>
      <c r="C18" s="168">
        <f t="shared" si="0"/>
        <v>55031.830628999996</v>
      </c>
      <c r="D18" s="168">
        <f t="shared" si="1"/>
        <v>4585.9858857499994</v>
      </c>
      <c r="E18" s="168">
        <f t="shared" si="2"/>
        <v>2262.5657657249999</v>
      </c>
      <c r="F18" s="168">
        <f t="shared" si="3"/>
        <v>4219.1070148899998</v>
      </c>
      <c r="G18" s="168">
        <f t="shared" si="4"/>
        <v>16540.892239157107</v>
      </c>
      <c r="H18" s="168">
        <f t="shared" si="5"/>
        <v>61513.50340961499</v>
      </c>
      <c r="I18" s="168">
        <f t="shared" si="6"/>
        <v>78054.395648772101</v>
      </c>
      <c r="J18" s="168">
        <v>7282.53</v>
      </c>
      <c r="K18" s="168">
        <v>6119.63</v>
      </c>
    </row>
    <row r="19" spans="1:11" x14ac:dyDescent="0.25">
      <c r="A19" s="167">
        <f t="shared" si="7"/>
        <v>16</v>
      </c>
      <c r="B19" s="168">
        <v>27190.53</v>
      </c>
      <c r="C19" s="168">
        <f t="shared" si="0"/>
        <v>55465.962146999991</v>
      </c>
      <c r="D19" s="168">
        <f t="shared" si="1"/>
        <v>4622.1635122499993</v>
      </c>
      <c r="E19" s="168">
        <f t="shared" si="2"/>
        <v>2273.4190536749998</v>
      </c>
      <c r="F19" s="168">
        <f t="shared" si="3"/>
        <v>4252.3904312699997</v>
      </c>
      <c r="G19" s="168">
        <f t="shared" si="4"/>
        <v>16669.35935263487</v>
      </c>
      <c r="H19" s="168">
        <f t="shared" si="5"/>
        <v>61991.771631944997</v>
      </c>
      <c r="I19" s="168">
        <f t="shared" si="6"/>
        <v>78661.130984579868</v>
      </c>
      <c r="J19" s="168">
        <v>7836.19</v>
      </c>
      <c r="K19" s="168">
        <v>6583.42</v>
      </c>
    </row>
    <row r="20" spans="1:11" x14ac:dyDescent="0.25">
      <c r="A20" s="167">
        <f>A19+1</f>
        <v>17</v>
      </c>
      <c r="B20" s="168">
        <v>27403.35</v>
      </c>
      <c r="C20" s="168">
        <f t="shared" si="0"/>
        <v>55900.093664999993</v>
      </c>
      <c r="D20" s="168">
        <f t="shared" si="1"/>
        <v>4658.3411387499991</v>
      </c>
      <c r="E20" s="168">
        <f t="shared" si="2"/>
        <v>2284.2723416250001</v>
      </c>
      <c r="F20" s="168">
        <f t="shared" si="3"/>
        <v>4285.6738476499995</v>
      </c>
      <c r="G20" s="168">
        <f t="shared" si="4"/>
        <v>16797.826466112638</v>
      </c>
      <c r="H20" s="168">
        <f t="shared" si="5"/>
        <v>62470.03985427499</v>
      </c>
      <c r="I20" s="168">
        <f t="shared" si="6"/>
        <v>79267.866320387635</v>
      </c>
      <c r="J20" s="168">
        <v>7998.76</v>
      </c>
      <c r="K20" s="168">
        <v>6719.6</v>
      </c>
    </row>
    <row r="21" spans="1:11" x14ac:dyDescent="0.25">
      <c r="A21" s="167">
        <f t="shared" si="7"/>
        <v>18</v>
      </c>
      <c r="B21" s="168">
        <v>27616.17</v>
      </c>
      <c r="C21" s="168">
        <f t="shared" si="0"/>
        <v>56334.225182999995</v>
      </c>
      <c r="D21" s="168">
        <f t="shared" si="1"/>
        <v>4694.5187652499999</v>
      </c>
      <c r="E21" s="168">
        <f t="shared" si="2"/>
        <v>2295.1256295749999</v>
      </c>
      <c r="F21" s="168">
        <f t="shared" si="3"/>
        <v>4318.9572640300003</v>
      </c>
      <c r="G21" s="168">
        <f t="shared" si="4"/>
        <v>16926.293579590401</v>
      </c>
      <c r="H21" s="168">
        <f t="shared" si="5"/>
        <v>62948.308076604997</v>
      </c>
      <c r="I21" s="168">
        <f t="shared" si="6"/>
        <v>79874.601656195402</v>
      </c>
      <c r="J21" s="168">
        <v>7999.35</v>
      </c>
      <c r="K21" s="168">
        <v>6720.09</v>
      </c>
    </row>
    <row r="22" spans="1:11" x14ac:dyDescent="0.25">
      <c r="A22" s="167">
        <f t="shared" si="7"/>
        <v>19</v>
      </c>
      <c r="B22" s="168">
        <v>27828.99</v>
      </c>
      <c r="C22" s="168">
        <f t="shared" si="0"/>
        <v>56768.356700999997</v>
      </c>
      <c r="D22" s="168">
        <f t="shared" si="1"/>
        <v>4730.6963917499997</v>
      </c>
      <c r="E22" s="168">
        <f t="shared" si="2"/>
        <v>2305.9789175249998</v>
      </c>
      <c r="F22" s="168">
        <f t="shared" si="3"/>
        <v>4352.2406804100001</v>
      </c>
      <c r="G22" s="168">
        <f t="shared" si="4"/>
        <v>17054.760693068165</v>
      </c>
      <c r="H22" s="168">
        <f t="shared" si="5"/>
        <v>63426.576298934997</v>
      </c>
      <c r="I22" s="168">
        <f t="shared" si="6"/>
        <v>80481.336992003169</v>
      </c>
      <c r="J22" s="168">
        <v>8163.13</v>
      </c>
      <c r="K22" s="168">
        <v>6857.28</v>
      </c>
    </row>
    <row r="23" spans="1:11" x14ac:dyDescent="0.25">
      <c r="A23" s="167">
        <f t="shared" si="7"/>
        <v>20</v>
      </c>
      <c r="B23" s="168">
        <v>28041.81</v>
      </c>
      <c r="C23" s="168">
        <f t="shared" si="0"/>
        <v>57202.488218999999</v>
      </c>
      <c r="D23" s="168">
        <f t="shared" si="1"/>
        <v>4766.8740182499996</v>
      </c>
      <c r="E23" s="168">
        <f t="shared" si="2"/>
        <v>2316.8322054750001</v>
      </c>
      <c r="F23" s="168">
        <f t="shared" si="3"/>
        <v>4385.5240967899999</v>
      </c>
      <c r="G23" s="168">
        <f t="shared" si="4"/>
        <v>17183.227806545932</v>
      </c>
      <c r="H23" s="168">
        <f t="shared" si="5"/>
        <v>63904.844521265004</v>
      </c>
      <c r="I23" s="168">
        <f t="shared" si="6"/>
        <v>81088.072327810936</v>
      </c>
      <c r="J23" s="168">
        <v>8184.44</v>
      </c>
      <c r="K23" s="168">
        <v>6875.13</v>
      </c>
    </row>
    <row r="24" spans="1:11" x14ac:dyDescent="0.25">
      <c r="A24" s="167">
        <f t="shared" si="7"/>
        <v>21</v>
      </c>
      <c r="B24" s="168">
        <v>28254.63</v>
      </c>
      <c r="C24" s="168">
        <f t="shared" si="0"/>
        <v>57636.619736999994</v>
      </c>
      <c r="D24" s="168">
        <f t="shared" si="1"/>
        <v>4803.0516447499995</v>
      </c>
      <c r="E24" s="168">
        <f t="shared" si="2"/>
        <v>2327.685493425</v>
      </c>
      <c r="F24" s="168">
        <f t="shared" si="3"/>
        <v>4418.8075131699998</v>
      </c>
      <c r="G24" s="168">
        <f t="shared" si="4"/>
        <v>17311.694920023696</v>
      </c>
      <c r="H24" s="168">
        <f t="shared" si="5"/>
        <v>64383.112743594997</v>
      </c>
      <c r="I24" s="168">
        <f t="shared" si="6"/>
        <v>81694.807663618689</v>
      </c>
      <c r="J24" s="168">
        <v>8326.91</v>
      </c>
      <c r="K24" s="168">
        <v>6994.49</v>
      </c>
    </row>
    <row r="25" spans="1:11" x14ac:dyDescent="0.25">
      <c r="A25" s="167">
        <f t="shared" si="7"/>
        <v>22</v>
      </c>
      <c r="B25" s="168">
        <v>28467.45</v>
      </c>
      <c r="C25" s="168">
        <f t="shared" si="0"/>
        <v>58070.751254999996</v>
      </c>
      <c r="D25" s="168">
        <f t="shared" si="1"/>
        <v>4839.2292712499993</v>
      </c>
      <c r="E25" s="168">
        <f t="shared" si="2"/>
        <v>2338.5387813749999</v>
      </c>
      <c r="F25" s="168">
        <f t="shared" si="3"/>
        <v>4452.0909295499996</v>
      </c>
      <c r="G25" s="168">
        <f t="shared" si="4"/>
        <v>17440.162033501463</v>
      </c>
      <c r="H25" s="168">
        <f t="shared" si="5"/>
        <v>64861.380965924996</v>
      </c>
      <c r="I25" s="168">
        <f t="shared" si="6"/>
        <v>82301.542999426456</v>
      </c>
      <c r="J25" s="168">
        <v>8326.91</v>
      </c>
      <c r="K25" s="168">
        <v>6994.49</v>
      </c>
    </row>
    <row r="26" spans="1:11" x14ac:dyDescent="0.25">
      <c r="A26" s="167">
        <f t="shared" si="7"/>
        <v>23</v>
      </c>
      <c r="B26" s="168">
        <v>28680.27</v>
      </c>
      <c r="C26" s="168">
        <f t="shared" si="0"/>
        <v>58504.882772999998</v>
      </c>
      <c r="D26" s="168">
        <f t="shared" si="1"/>
        <v>4875.4068977500001</v>
      </c>
      <c r="E26" s="168">
        <f t="shared" si="2"/>
        <v>2349.3920693250002</v>
      </c>
      <c r="F26" s="168">
        <f t="shared" si="3"/>
        <v>4485.3743459300003</v>
      </c>
      <c r="G26" s="168">
        <f t="shared" si="4"/>
        <v>17568.62914697923</v>
      </c>
      <c r="H26" s="168">
        <f t="shared" si="5"/>
        <v>65339.649188255004</v>
      </c>
      <c r="I26" s="168">
        <f t="shared" si="6"/>
        <v>82908.278335234238</v>
      </c>
      <c r="J26" s="168">
        <v>8490.7000000000007</v>
      </c>
      <c r="K26" s="168">
        <v>7131.68</v>
      </c>
    </row>
    <row r="27" spans="1:11" x14ac:dyDescent="0.25">
      <c r="A27" s="167">
        <f t="shared" si="7"/>
        <v>24</v>
      </c>
      <c r="B27" s="168">
        <v>28893.09</v>
      </c>
      <c r="C27" s="168">
        <f t="shared" si="0"/>
        <v>58939.014290999992</v>
      </c>
      <c r="D27" s="168">
        <f t="shared" si="1"/>
        <v>4911.584524249999</v>
      </c>
      <c r="E27" s="168">
        <f t="shared" si="2"/>
        <v>2360.2453572750001</v>
      </c>
      <c r="F27" s="168">
        <f t="shared" si="3"/>
        <v>4518.6577623099993</v>
      </c>
      <c r="G27" s="168">
        <f t="shared" si="4"/>
        <v>17697.09626045699</v>
      </c>
      <c r="H27" s="168">
        <f t="shared" si="5"/>
        <v>65817.917410584996</v>
      </c>
      <c r="I27" s="168">
        <f t="shared" si="6"/>
        <v>83515.01367104199</v>
      </c>
      <c r="J27" s="168">
        <v>8490.7000000000007</v>
      </c>
      <c r="K27" s="168">
        <v>7131.68</v>
      </c>
    </row>
    <row r="28" spans="1:11" x14ac:dyDescent="0.25">
      <c r="A28" s="167">
        <f t="shared" si="7"/>
        <v>25</v>
      </c>
      <c r="B28" s="168">
        <v>29105.91</v>
      </c>
      <c r="C28" s="168">
        <f t="shared" si="0"/>
        <v>59373.145808999994</v>
      </c>
      <c r="D28" s="168">
        <f t="shared" si="1"/>
        <v>4947.7621507499998</v>
      </c>
      <c r="E28" s="168">
        <f t="shared" si="2"/>
        <v>2371.0986452249999</v>
      </c>
      <c r="F28" s="168">
        <f t="shared" si="3"/>
        <v>4551.94117869</v>
      </c>
      <c r="G28" s="168">
        <f t="shared" si="4"/>
        <v>17825.563373934758</v>
      </c>
      <c r="H28" s="168">
        <f t="shared" si="5"/>
        <v>66296.185632914989</v>
      </c>
      <c r="I28" s="168">
        <f t="shared" si="6"/>
        <v>84121.749006849743</v>
      </c>
      <c r="J28" s="168">
        <v>8654.4699999999993</v>
      </c>
      <c r="K28" s="168">
        <v>7268.88</v>
      </c>
    </row>
    <row r="29" spans="1:11" x14ac:dyDescent="0.25">
      <c r="J29" s="168">
        <v>8654.4699999999993</v>
      </c>
      <c r="K29" s="168">
        <v>7268.88</v>
      </c>
    </row>
    <row r="30" spans="1:11" x14ac:dyDescent="0.25">
      <c r="J30" s="168">
        <v>8818.25</v>
      </c>
      <c r="K30" s="168">
        <v>7406.07</v>
      </c>
    </row>
    <row r="31" spans="1:11" x14ac:dyDescent="0.25">
      <c r="J31" s="168">
        <v>8818.25</v>
      </c>
      <c r="K31" s="168">
        <v>7406.07</v>
      </c>
    </row>
    <row r="32" spans="1:11" x14ac:dyDescent="0.25">
      <c r="J32" s="168">
        <v>8840.27</v>
      </c>
      <c r="K32" s="168">
        <v>7424.51</v>
      </c>
    </row>
    <row r="33" spans="10:11" x14ac:dyDescent="0.25">
      <c r="J33" s="168">
        <v>8840.27</v>
      </c>
      <c r="K33" s="168">
        <v>7424.51</v>
      </c>
    </row>
    <row r="34" spans="10:11" x14ac:dyDescent="0.25">
      <c r="J34" s="168">
        <v>8840.27</v>
      </c>
      <c r="K34" s="168">
        <v>7424.51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A3:A17"/>
  <sheetViews>
    <sheetView workbookViewId="0">
      <selection activeCell="A15" sqref="A15"/>
    </sheetView>
  </sheetViews>
  <sheetFormatPr baseColWidth="10" defaultColWidth="11.42578125" defaultRowHeight="15" x14ac:dyDescent="0.25"/>
  <sheetData>
    <row r="3" spans="1:1" x14ac:dyDescent="0.25">
      <c r="A3" t="s">
        <v>159</v>
      </c>
    </row>
    <row r="4" spans="1:1" x14ac:dyDescent="0.25">
      <c r="A4" t="s">
        <v>161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160</v>
      </c>
    </row>
    <row r="10" spans="1:1" x14ac:dyDescent="0.25">
      <c r="A10" t="s">
        <v>158</v>
      </c>
    </row>
    <row r="11" spans="1:1" x14ac:dyDescent="0.25">
      <c r="A11" t="s">
        <v>245</v>
      </c>
    </row>
    <row r="13" spans="1:1" x14ac:dyDescent="0.25">
      <c r="A13" t="s">
        <v>274</v>
      </c>
    </row>
    <row r="14" spans="1:1" x14ac:dyDescent="0.25">
      <c r="A14" t="s">
        <v>285</v>
      </c>
    </row>
    <row r="15" spans="1:1" x14ac:dyDescent="0.25">
      <c r="A15" t="s">
        <v>288</v>
      </c>
    </row>
    <row r="16" spans="1:1" x14ac:dyDescent="0.25">
      <c r="A16" t="s">
        <v>292</v>
      </c>
    </row>
    <row r="17" spans="1:1" x14ac:dyDescent="0.25">
      <c r="A17" t="s">
        <v>295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  <pageSetUpPr fitToPage="1"/>
  </sheetPr>
  <dimension ref="A1:H3"/>
  <sheetViews>
    <sheetView workbookViewId="0">
      <selection activeCell="F23" sqref="F23"/>
    </sheetView>
  </sheetViews>
  <sheetFormatPr baseColWidth="10" defaultColWidth="11.42578125" defaultRowHeight="15" x14ac:dyDescent="0.25"/>
  <cols>
    <col min="1" max="3" width="14.28515625" customWidth="1"/>
    <col min="4" max="4" width="14.28515625" hidden="1" customWidth="1"/>
    <col min="5" max="5" width="12.140625" customWidth="1"/>
  </cols>
  <sheetData>
    <row r="1" spans="1:8" ht="31.35" customHeight="1" x14ac:dyDescent="0.25">
      <c r="A1" s="210" t="s">
        <v>202</v>
      </c>
      <c r="B1" s="211"/>
      <c r="C1" s="211"/>
      <c r="D1" s="211"/>
      <c r="E1" s="211"/>
      <c r="F1" s="211"/>
      <c r="G1" s="212"/>
    </row>
    <row r="2" spans="1:8" s="38" customFormat="1" ht="34.35" customHeight="1" x14ac:dyDescent="0.25">
      <c r="A2" s="42" t="s">
        <v>203</v>
      </c>
      <c r="B2" s="42" t="s">
        <v>128</v>
      </c>
      <c r="C2" s="42" t="s">
        <v>201</v>
      </c>
      <c r="D2" s="42" t="s">
        <v>131</v>
      </c>
      <c r="E2" s="42" t="s">
        <v>132</v>
      </c>
      <c r="F2" s="42" t="s">
        <v>133</v>
      </c>
      <c r="G2" s="42" t="s">
        <v>134</v>
      </c>
    </row>
    <row r="3" spans="1:8" x14ac:dyDescent="0.25">
      <c r="A3" s="40">
        <v>8</v>
      </c>
      <c r="B3" s="41">
        <v>2</v>
      </c>
      <c r="C3" s="41">
        <f>(1/18)*2</f>
        <v>0.1111111111111111</v>
      </c>
      <c r="D3" s="41">
        <v>0.5</v>
      </c>
      <c r="H3" s="46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 xml:space="preserve">&amp;C&amp;"-,Gras"Plan financier crèche
</oddHeader>
    <oddFooter>&amp;C&amp;A&amp;R&amp;P/&amp;N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</sheetPr>
  <dimension ref="A1:B9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40.5703125" bestFit="1" customWidth="1"/>
  </cols>
  <sheetData>
    <row r="1" spans="1:2" ht="44.85" customHeight="1" x14ac:dyDescent="0.25">
      <c r="A1" s="213" t="s">
        <v>253</v>
      </c>
      <c r="B1" s="214"/>
    </row>
    <row r="2" spans="1:2" x14ac:dyDescent="0.25">
      <c r="A2" s="55" t="s">
        <v>204</v>
      </c>
      <c r="B2" s="55" t="s">
        <v>165</v>
      </c>
    </row>
    <row r="3" spans="1:2" x14ac:dyDescent="0.25">
      <c r="A3" s="56" t="s">
        <v>205</v>
      </c>
      <c r="B3" s="57">
        <v>15.84</v>
      </c>
    </row>
    <row r="4" spans="1:2" x14ac:dyDescent="0.25">
      <c r="A4" s="56" t="s">
        <v>206</v>
      </c>
      <c r="B4" s="57">
        <v>19.12</v>
      </c>
    </row>
    <row r="5" spans="1:2" x14ac:dyDescent="0.25">
      <c r="A5" s="56" t="s">
        <v>207</v>
      </c>
      <c r="B5" s="57">
        <v>17.059999999999999</v>
      </c>
    </row>
    <row r="6" spans="1:2" x14ac:dyDescent="0.25">
      <c r="A6" s="56" t="s">
        <v>208</v>
      </c>
      <c r="B6" s="57">
        <v>17.07</v>
      </c>
    </row>
    <row r="7" spans="1:2" x14ac:dyDescent="0.25">
      <c r="A7" s="56" t="s">
        <v>209</v>
      </c>
      <c r="B7" s="57">
        <v>19.11</v>
      </c>
    </row>
    <row r="8" spans="1:2" x14ac:dyDescent="0.25">
      <c r="A8" s="56" t="s">
        <v>14</v>
      </c>
      <c r="B8" s="57">
        <v>17.989999999999998</v>
      </c>
    </row>
    <row r="9" spans="1:2" x14ac:dyDescent="0.25">
      <c r="A9" s="58" t="s">
        <v>210</v>
      </c>
      <c r="B9" s="59">
        <v>17.25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11"/>
  <sheetViews>
    <sheetView tabSelected="1" zoomScale="120" zoomScaleNormal="120" workbookViewId="0">
      <selection activeCell="B14" sqref="B14"/>
    </sheetView>
  </sheetViews>
  <sheetFormatPr baseColWidth="10" defaultColWidth="11.42578125" defaultRowHeight="15" x14ac:dyDescent="0.25"/>
  <cols>
    <col min="1" max="1" width="24.140625" customWidth="1"/>
    <col min="2" max="2" width="55.85546875" customWidth="1"/>
  </cols>
  <sheetData>
    <row r="1" spans="1:2" ht="36.6" customHeight="1" x14ac:dyDescent="0.25">
      <c r="A1" s="182" t="s">
        <v>8</v>
      </c>
      <c r="B1" s="183"/>
    </row>
    <row r="2" spans="1:2" s="1" customFormat="1" ht="39.6" customHeight="1" x14ac:dyDescent="0.25">
      <c r="A2" s="83" t="s">
        <v>9</v>
      </c>
      <c r="B2" s="84"/>
    </row>
    <row r="3" spans="1:2" s="1" customFormat="1" ht="21.95" customHeight="1" x14ac:dyDescent="0.25">
      <c r="A3" s="11" t="s">
        <v>10</v>
      </c>
      <c r="B3" s="36"/>
    </row>
    <row r="4" spans="1:2" s="1" customFormat="1" ht="21.95" customHeight="1" x14ac:dyDescent="0.25">
      <c r="A4" s="11" t="s">
        <v>11</v>
      </c>
      <c r="B4" s="36"/>
    </row>
    <row r="5" spans="1:2" s="1" customFormat="1" ht="21.95" customHeight="1" x14ac:dyDescent="0.25">
      <c r="A5" s="11" t="s">
        <v>12</v>
      </c>
      <c r="B5" s="36"/>
    </row>
    <row r="6" spans="1:2" s="1" customFormat="1" ht="39.6" customHeight="1" x14ac:dyDescent="0.25">
      <c r="A6" s="37" t="s">
        <v>271</v>
      </c>
      <c r="B6" s="3"/>
    </row>
    <row r="7" spans="1:2" s="1" customFormat="1" ht="21.75" customHeight="1" x14ac:dyDescent="0.25">
      <c r="A7" s="11" t="s">
        <v>10</v>
      </c>
      <c r="B7" s="36"/>
    </row>
    <row r="8" spans="1:2" s="1" customFormat="1" ht="21.75" customHeight="1" x14ac:dyDescent="0.25">
      <c r="A8" s="11" t="s">
        <v>11</v>
      </c>
      <c r="B8" s="36"/>
    </row>
    <row r="9" spans="1:2" s="1" customFormat="1" ht="21.75" customHeight="1" x14ac:dyDescent="0.25">
      <c r="A9" s="11" t="s">
        <v>12</v>
      </c>
      <c r="B9" s="36"/>
    </row>
    <row r="10" spans="1:2" s="1" customFormat="1" ht="21.75" customHeight="1" x14ac:dyDescent="0.25">
      <c r="A10" s="11" t="s">
        <v>246</v>
      </c>
      <c r="B10" s="3">
        <v>8</v>
      </c>
    </row>
    <row r="11" spans="1:2" ht="22.35" customHeight="1" x14ac:dyDescent="0.25">
      <c r="A11" s="11" t="s">
        <v>13</v>
      </c>
      <c r="B11" s="36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&amp;C&amp;"-,Gras"Plan financier co-accueil lieu tiers</oddHeader>
    <oddFooter>&amp;C&amp;A&amp;R&amp;P/&amp;N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PFP!$A$3:$A$8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8181"/>
    <pageSetUpPr fitToPage="1"/>
  </sheetPr>
  <dimension ref="A1:D112"/>
  <sheetViews>
    <sheetView zoomScale="110" zoomScaleNormal="110" workbookViewId="0">
      <selection activeCell="B14" sqref="B14"/>
    </sheetView>
  </sheetViews>
  <sheetFormatPr baseColWidth="10" defaultColWidth="10.85546875" defaultRowHeight="15" x14ac:dyDescent="0.25"/>
  <cols>
    <col min="1" max="1" width="39.85546875" style="1" bestFit="1" customWidth="1"/>
    <col min="2" max="2" width="22" style="24" customWidth="1"/>
    <col min="3" max="3" width="21.42578125" style="1" customWidth="1"/>
    <col min="4" max="4" width="33.5703125" style="120" customWidth="1"/>
  </cols>
  <sheetData>
    <row r="1" spans="1:4" ht="34.700000000000003" customHeight="1" x14ac:dyDescent="0.25">
      <c r="A1" s="184" t="s">
        <v>247</v>
      </c>
      <c r="B1" s="185"/>
      <c r="C1" s="185"/>
      <c r="D1" s="183"/>
    </row>
    <row r="2" spans="1:4" x14ac:dyDescent="0.25">
      <c r="A2" s="99" t="s">
        <v>15</v>
      </c>
      <c r="B2" s="100">
        <f>SUM(B3:B9)</f>
        <v>0</v>
      </c>
      <c r="C2" s="101" t="s">
        <v>16</v>
      </c>
      <c r="D2" s="118" t="s">
        <v>17</v>
      </c>
    </row>
    <row r="3" spans="1:4" x14ac:dyDescent="0.25">
      <c r="A3" s="88" t="s">
        <v>18</v>
      </c>
      <c r="B3" s="89"/>
      <c r="C3" s="11"/>
      <c r="D3" s="97"/>
    </row>
    <row r="4" spans="1:4" x14ac:dyDescent="0.25">
      <c r="A4" s="88" t="s">
        <v>19</v>
      </c>
      <c r="B4" s="89"/>
      <c r="C4" s="11"/>
      <c r="D4" s="97"/>
    </row>
    <row r="5" spans="1:4" x14ac:dyDescent="0.25">
      <c r="A5" s="88" t="s">
        <v>20</v>
      </c>
      <c r="B5" s="89"/>
      <c r="C5" s="11"/>
      <c r="D5" s="97"/>
    </row>
    <row r="6" spans="1:4" x14ac:dyDescent="0.25">
      <c r="A6" s="88" t="s">
        <v>21</v>
      </c>
      <c r="B6" s="89"/>
      <c r="C6" s="11"/>
      <c r="D6" s="97"/>
    </row>
    <row r="7" spans="1:4" x14ac:dyDescent="0.25">
      <c r="A7" s="88" t="s">
        <v>22</v>
      </c>
      <c r="B7" s="89"/>
      <c r="C7" s="11"/>
      <c r="D7" s="97"/>
    </row>
    <row r="8" spans="1:4" x14ac:dyDescent="0.25">
      <c r="A8" s="88" t="s">
        <v>22</v>
      </c>
      <c r="B8" s="89"/>
      <c r="C8" s="11"/>
      <c r="D8" s="97"/>
    </row>
    <row r="9" spans="1:4" x14ac:dyDescent="0.25">
      <c r="A9" s="88" t="s">
        <v>22</v>
      </c>
      <c r="B9" s="89"/>
      <c r="C9" s="11"/>
      <c r="D9" s="97"/>
    </row>
    <row r="10" spans="1:4" collapsed="1" x14ac:dyDescent="0.25">
      <c r="A10" s="99" t="s">
        <v>23</v>
      </c>
      <c r="B10" s="100">
        <f>SUM(B11:B16)</f>
        <v>0</v>
      </c>
      <c r="C10" s="101" t="s">
        <v>16</v>
      </c>
      <c r="D10" s="118" t="s">
        <v>17</v>
      </c>
    </row>
    <row r="11" spans="1:4" x14ac:dyDescent="0.25">
      <c r="A11" s="88" t="s">
        <v>24</v>
      </c>
      <c r="B11" s="89"/>
      <c r="C11" s="11"/>
      <c r="D11" s="97"/>
    </row>
    <row r="12" spans="1:4" x14ac:dyDescent="0.25">
      <c r="A12" s="88" t="s">
        <v>25</v>
      </c>
      <c r="B12" s="89"/>
      <c r="C12" s="11"/>
      <c r="D12" s="97"/>
    </row>
    <row r="13" spans="1:4" x14ac:dyDescent="0.25">
      <c r="A13" s="88" t="s">
        <v>26</v>
      </c>
      <c r="B13" s="89"/>
      <c r="C13" s="11"/>
      <c r="D13" s="97"/>
    </row>
    <row r="14" spans="1:4" x14ac:dyDescent="0.25">
      <c r="A14" s="88" t="s">
        <v>22</v>
      </c>
      <c r="B14" s="89"/>
      <c r="C14" s="11"/>
      <c r="D14" s="97"/>
    </row>
    <row r="15" spans="1:4" x14ac:dyDescent="0.25">
      <c r="A15" s="88" t="s">
        <v>22</v>
      </c>
      <c r="B15" s="89"/>
      <c r="C15" s="11"/>
      <c r="D15" s="97"/>
    </row>
    <row r="16" spans="1:4" x14ac:dyDescent="0.25">
      <c r="A16" s="88" t="s">
        <v>22</v>
      </c>
      <c r="B16" s="89"/>
      <c r="C16" s="11"/>
      <c r="D16" s="97"/>
    </row>
    <row r="17" spans="1:4" collapsed="1" x14ac:dyDescent="0.25">
      <c r="A17" s="99" t="s">
        <v>27</v>
      </c>
      <c r="B17" s="100">
        <f>B18+B27</f>
        <v>0</v>
      </c>
      <c r="C17" s="101" t="s">
        <v>16</v>
      </c>
      <c r="D17" s="118" t="s">
        <v>17</v>
      </c>
    </row>
    <row r="18" spans="1:4" x14ac:dyDescent="0.25">
      <c r="A18" s="105" t="s">
        <v>28</v>
      </c>
      <c r="B18" s="106">
        <f>SUM(B19:B26)</f>
        <v>0</v>
      </c>
      <c r="C18" s="2"/>
      <c r="D18" s="119"/>
    </row>
    <row r="19" spans="1:4" x14ac:dyDescent="0.25">
      <c r="A19" s="88" t="s">
        <v>29</v>
      </c>
      <c r="B19" s="89"/>
      <c r="C19" s="11"/>
      <c r="D19" s="97"/>
    </row>
    <row r="20" spans="1:4" x14ac:dyDescent="0.25">
      <c r="A20" s="88" t="s">
        <v>30</v>
      </c>
      <c r="B20" s="89"/>
      <c r="C20" s="11"/>
      <c r="D20" s="97"/>
    </row>
    <row r="21" spans="1:4" x14ac:dyDescent="0.25">
      <c r="A21" s="88" t="s">
        <v>31</v>
      </c>
      <c r="B21" s="89"/>
      <c r="C21" s="11"/>
      <c r="D21" s="114"/>
    </row>
    <row r="22" spans="1:4" x14ac:dyDescent="0.25">
      <c r="A22" s="88" t="s">
        <v>32</v>
      </c>
      <c r="B22" s="89"/>
      <c r="C22" s="102"/>
      <c r="D22" s="97"/>
    </row>
    <row r="23" spans="1:4" x14ac:dyDescent="0.25">
      <c r="A23" s="88" t="s">
        <v>33</v>
      </c>
      <c r="B23" s="89"/>
      <c r="C23" s="102"/>
      <c r="D23" s="97"/>
    </row>
    <row r="24" spans="1:4" x14ac:dyDescent="0.25">
      <c r="A24" s="88" t="s">
        <v>22</v>
      </c>
      <c r="B24" s="89"/>
      <c r="C24" s="11"/>
      <c r="D24" s="97"/>
    </row>
    <row r="25" spans="1:4" x14ac:dyDescent="0.25">
      <c r="A25" s="88" t="s">
        <v>22</v>
      </c>
      <c r="B25" s="89"/>
      <c r="C25" s="11"/>
      <c r="D25" s="97"/>
    </row>
    <row r="26" spans="1:4" x14ac:dyDescent="0.25">
      <c r="A26" s="88" t="s">
        <v>22</v>
      </c>
      <c r="B26" s="89"/>
      <c r="C26" s="11"/>
      <c r="D26" s="97"/>
    </row>
    <row r="27" spans="1:4" x14ac:dyDescent="0.25">
      <c r="A27" s="105" t="s">
        <v>34</v>
      </c>
      <c r="B27" s="106">
        <f>SUM(B28:B32)</f>
        <v>0</v>
      </c>
      <c r="C27" s="2"/>
      <c r="D27" s="119"/>
    </row>
    <row r="28" spans="1:4" x14ac:dyDescent="0.25">
      <c r="A28" s="88" t="s">
        <v>35</v>
      </c>
      <c r="B28" s="89"/>
      <c r="C28" s="11"/>
      <c r="D28" s="97"/>
    </row>
    <row r="29" spans="1:4" x14ac:dyDescent="0.25">
      <c r="A29" s="88" t="s">
        <v>36</v>
      </c>
      <c r="B29" s="89"/>
      <c r="C29" s="11"/>
      <c r="D29" s="97"/>
    </row>
    <row r="30" spans="1:4" x14ac:dyDescent="0.25">
      <c r="A30" s="88" t="s">
        <v>240</v>
      </c>
      <c r="B30" s="89"/>
      <c r="C30" s="11"/>
      <c r="D30" s="97"/>
    </row>
    <row r="31" spans="1:4" x14ac:dyDescent="0.25">
      <c r="A31" s="88" t="s">
        <v>22</v>
      </c>
      <c r="B31" s="89"/>
      <c r="C31" s="11"/>
      <c r="D31" s="97"/>
    </row>
    <row r="32" spans="1:4" x14ac:dyDescent="0.25">
      <c r="A32" s="88" t="s">
        <v>22</v>
      </c>
      <c r="B32" s="89"/>
      <c r="C32" s="11"/>
      <c r="D32" s="97"/>
    </row>
    <row r="33" spans="1:4" collapsed="1" x14ac:dyDescent="0.25">
      <c r="A33" s="86" t="s">
        <v>37</v>
      </c>
      <c r="B33" s="87">
        <f>B34+B41+B49+B56+B61+B70+B78+B85+B90+B99</f>
        <v>0</v>
      </c>
      <c r="C33" s="101" t="s">
        <v>16</v>
      </c>
      <c r="D33" s="118" t="s">
        <v>17</v>
      </c>
    </row>
    <row r="34" spans="1:4" x14ac:dyDescent="0.25">
      <c r="A34" s="105" t="s">
        <v>38</v>
      </c>
      <c r="B34" s="106">
        <f>SUM(B35:B40)</f>
        <v>0</v>
      </c>
      <c r="C34" s="2"/>
      <c r="D34" s="119"/>
    </row>
    <row r="35" spans="1:4" ht="15.75" customHeight="1" x14ac:dyDescent="0.25">
      <c r="A35" s="88" t="s">
        <v>39</v>
      </c>
      <c r="B35" s="89"/>
      <c r="C35" s="11"/>
      <c r="D35" s="97"/>
    </row>
    <row r="36" spans="1:4" ht="15.75" customHeight="1" x14ac:dyDescent="0.25">
      <c r="A36" s="88" t="s">
        <v>40</v>
      </c>
      <c r="B36" s="89"/>
      <c r="C36" s="11"/>
      <c r="D36" s="97"/>
    </row>
    <row r="37" spans="1:4" ht="15.75" customHeight="1" x14ac:dyDescent="0.25">
      <c r="A37" s="88" t="s">
        <v>41</v>
      </c>
      <c r="B37" s="89"/>
      <c r="C37" s="11"/>
      <c r="D37" s="97"/>
    </row>
    <row r="38" spans="1:4" x14ac:dyDescent="0.25">
      <c r="A38" s="88" t="s">
        <v>42</v>
      </c>
      <c r="B38" s="89"/>
      <c r="C38" s="11"/>
      <c r="D38" s="97"/>
    </row>
    <row r="39" spans="1:4" x14ac:dyDescent="0.25">
      <c r="A39" s="88" t="s">
        <v>43</v>
      </c>
      <c r="B39" s="89"/>
      <c r="C39" s="11"/>
      <c r="D39" s="97"/>
    </row>
    <row r="40" spans="1:4" x14ac:dyDescent="0.25">
      <c r="A40" s="88" t="s">
        <v>22</v>
      </c>
      <c r="B40" s="89"/>
      <c r="C40" s="11"/>
      <c r="D40" s="97"/>
    </row>
    <row r="41" spans="1:4" x14ac:dyDescent="0.25">
      <c r="A41" s="105" t="s">
        <v>44</v>
      </c>
      <c r="B41" s="106">
        <f>SUM(B42:B48)</f>
        <v>0</v>
      </c>
      <c r="C41" s="2"/>
      <c r="D41" s="119"/>
    </row>
    <row r="42" spans="1:4" x14ac:dyDescent="0.25">
      <c r="A42" s="88" t="s">
        <v>45</v>
      </c>
      <c r="B42" s="89"/>
      <c r="C42" s="11"/>
      <c r="D42" s="97"/>
    </row>
    <row r="43" spans="1:4" x14ac:dyDescent="0.25">
      <c r="A43" s="88" t="s">
        <v>46</v>
      </c>
      <c r="B43" s="89"/>
      <c r="C43" s="11"/>
      <c r="D43" s="97"/>
    </row>
    <row r="44" spans="1:4" x14ac:dyDescent="0.25">
      <c r="A44" s="88" t="s">
        <v>47</v>
      </c>
      <c r="B44" s="89"/>
      <c r="C44" s="11"/>
      <c r="D44" s="97"/>
    </row>
    <row r="45" spans="1:4" x14ac:dyDescent="0.25">
      <c r="A45" s="88" t="s">
        <v>48</v>
      </c>
      <c r="B45" s="89"/>
      <c r="C45" s="11"/>
      <c r="D45" s="97"/>
    </row>
    <row r="46" spans="1:4" x14ac:dyDescent="0.25">
      <c r="A46" s="88" t="s">
        <v>22</v>
      </c>
      <c r="B46" s="89"/>
      <c r="C46" s="11"/>
      <c r="D46" s="97"/>
    </row>
    <row r="47" spans="1:4" x14ac:dyDescent="0.25">
      <c r="A47" s="88" t="s">
        <v>22</v>
      </c>
      <c r="B47" s="89"/>
      <c r="C47" s="11"/>
      <c r="D47" s="97"/>
    </row>
    <row r="48" spans="1:4" x14ac:dyDescent="0.25">
      <c r="A48" s="88" t="s">
        <v>22</v>
      </c>
      <c r="B48" s="89"/>
      <c r="C48" s="11"/>
      <c r="D48" s="97"/>
    </row>
    <row r="49" spans="1:4" x14ac:dyDescent="0.25">
      <c r="A49" s="105" t="s">
        <v>49</v>
      </c>
      <c r="B49" s="106">
        <f>SUM(B50:B55)</f>
        <v>0</v>
      </c>
      <c r="C49" s="2"/>
      <c r="D49" s="119"/>
    </row>
    <row r="50" spans="1:4" x14ac:dyDescent="0.25">
      <c r="A50" s="88" t="s">
        <v>50</v>
      </c>
      <c r="B50" s="89"/>
      <c r="C50" s="11"/>
      <c r="D50" s="97"/>
    </row>
    <row r="51" spans="1:4" x14ac:dyDescent="0.25">
      <c r="A51" s="88" t="s">
        <v>48</v>
      </c>
      <c r="B51" s="89"/>
      <c r="C51" s="11"/>
      <c r="D51" s="97"/>
    </row>
    <row r="52" spans="1:4" x14ac:dyDescent="0.25">
      <c r="A52" s="88" t="s">
        <v>51</v>
      </c>
      <c r="B52" s="89"/>
      <c r="C52" s="11"/>
      <c r="D52" s="97"/>
    </row>
    <row r="53" spans="1:4" x14ac:dyDescent="0.25">
      <c r="A53" s="88" t="s">
        <v>233</v>
      </c>
      <c r="B53" s="89"/>
      <c r="C53" s="11"/>
      <c r="D53" s="97"/>
    </row>
    <row r="54" spans="1:4" x14ac:dyDescent="0.25">
      <c r="A54" s="88" t="s">
        <v>238</v>
      </c>
      <c r="B54" s="89"/>
      <c r="C54" s="11"/>
      <c r="D54" s="97"/>
    </row>
    <row r="55" spans="1:4" x14ac:dyDescent="0.25">
      <c r="A55" s="88" t="s">
        <v>22</v>
      </c>
      <c r="B55" s="89"/>
      <c r="C55" s="11"/>
      <c r="D55" s="97"/>
    </row>
    <row r="56" spans="1:4" x14ac:dyDescent="0.25">
      <c r="A56" s="105" t="s">
        <v>52</v>
      </c>
      <c r="B56" s="106">
        <f>SUM(B57:B60)</f>
        <v>0</v>
      </c>
      <c r="C56" s="2"/>
      <c r="D56" s="119"/>
    </row>
    <row r="57" spans="1:4" ht="25.5" x14ac:dyDescent="0.25">
      <c r="A57" s="103" t="s">
        <v>53</v>
      </c>
      <c r="B57" s="89"/>
      <c r="C57" s="11"/>
      <c r="D57" s="97"/>
    </row>
    <row r="58" spans="1:4" x14ac:dyDescent="0.25">
      <c r="A58" s="88" t="s">
        <v>235</v>
      </c>
      <c r="B58" s="89"/>
      <c r="C58" s="11"/>
      <c r="D58" s="97"/>
    </row>
    <row r="59" spans="1:4" x14ac:dyDescent="0.25">
      <c r="A59" s="88" t="s">
        <v>237</v>
      </c>
      <c r="B59" s="89"/>
      <c r="C59" s="11"/>
      <c r="D59" s="97"/>
    </row>
    <row r="60" spans="1:4" x14ac:dyDescent="0.25">
      <c r="A60" s="88" t="s">
        <v>239</v>
      </c>
      <c r="B60" s="89"/>
      <c r="C60" s="11"/>
      <c r="D60" s="97"/>
    </row>
    <row r="61" spans="1:4" x14ac:dyDescent="0.25">
      <c r="A61" s="105" t="s">
        <v>54</v>
      </c>
      <c r="B61" s="106">
        <f>SUM(B62:B69)</f>
        <v>0</v>
      </c>
      <c r="C61" s="2"/>
      <c r="D61" s="119"/>
    </row>
    <row r="62" spans="1:4" x14ac:dyDescent="0.25">
      <c r="A62" s="88" t="s">
        <v>236</v>
      </c>
      <c r="B62" s="89"/>
      <c r="C62" s="11"/>
      <c r="D62" s="123"/>
    </row>
    <row r="63" spans="1:4" x14ac:dyDescent="0.25">
      <c r="A63" s="88" t="s">
        <v>55</v>
      </c>
      <c r="B63" s="89"/>
      <c r="C63" s="11"/>
      <c r="D63" s="97"/>
    </row>
    <row r="64" spans="1:4" x14ac:dyDescent="0.25">
      <c r="A64" s="88" t="s">
        <v>56</v>
      </c>
      <c r="B64" s="89"/>
      <c r="C64" s="11"/>
      <c r="D64" s="97"/>
    </row>
    <row r="65" spans="1:4" x14ac:dyDescent="0.25">
      <c r="A65" s="88" t="s">
        <v>57</v>
      </c>
      <c r="B65" s="89"/>
      <c r="C65" s="11"/>
      <c r="D65" s="97"/>
    </row>
    <row r="66" spans="1:4" x14ac:dyDescent="0.25">
      <c r="A66" s="88" t="s">
        <v>58</v>
      </c>
      <c r="B66" s="89"/>
      <c r="C66" s="11"/>
      <c r="D66" s="97"/>
    </row>
    <row r="67" spans="1:4" x14ac:dyDescent="0.25">
      <c r="A67" s="88" t="s">
        <v>22</v>
      </c>
      <c r="B67" s="89"/>
      <c r="C67" s="11"/>
      <c r="D67" s="97"/>
    </row>
    <row r="68" spans="1:4" x14ac:dyDescent="0.25">
      <c r="A68" s="88" t="s">
        <v>22</v>
      </c>
      <c r="B68" s="89"/>
      <c r="C68" s="11"/>
      <c r="D68" s="97"/>
    </row>
    <row r="69" spans="1:4" x14ac:dyDescent="0.25">
      <c r="A69" s="88" t="s">
        <v>22</v>
      </c>
      <c r="B69" s="89"/>
      <c r="C69" s="11"/>
      <c r="D69" s="97"/>
    </row>
    <row r="70" spans="1:4" x14ac:dyDescent="0.25">
      <c r="A70" s="105" t="s">
        <v>59</v>
      </c>
      <c r="B70" s="106">
        <f>SUM(B71:B77)</f>
        <v>0</v>
      </c>
      <c r="C70" s="2"/>
      <c r="D70" s="119"/>
    </row>
    <row r="71" spans="1:4" x14ac:dyDescent="0.25">
      <c r="A71" s="88" t="s">
        <v>60</v>
      </c>
      <c r="B71" s="89"/>
      <c r="C71" s="11"/>
      <c r="D71" s="97"/>
    </row>
    <row r="72" spans="1:4" x14ac:dyDescent="0.25">
      <c r="A72" s="88" t="s">
        <v>61</v>
      </c>
      <c r="B72" s="89"/>
      <c r="C72" s="11"/>
      <c r="D72" s="97"/>
    </row>
    <row r="73" spans="1:4" x14ac:dyDescent="0.25">
      <c r="A73" s="88" t="s">
        <v>62</v>
      </c>
      <c r="B73" s="89"/>
      <c r="C73" s="11"/>
      <c r="D73" s="97"/>
    </row>
    <row r="74" spans="1:4" x14ac:dyDescent="0.25">
      <c r="A74" s="88" t="s">
        <v>63</v>
      </c>
      <c r="B74" s="89"/>
      <c r="C74" s="11"/>
      <c r="D74" s="97"/>
    </row>
    <row r="75" spans="1:4" x14ac:dyDescent="0.25">
      <c r="A75" s="88" t="s">
        <v>219</v>
      </c>
      <c r="B75" s="89"/>
      <c r="C75" s="11"/>
      <c r="D75" s="97"/>
    </row>
    <row r="76" spans="1:4" x14ac:dyDescent="0.25">
      <c r="A76" s="88" t="s">
        <v>22</v>
      </c>
      <c r="B76" s="89"/>
      <c r="C76" s="11"/>
      <c r="D76" s="97"/>
    </row>
    <row r="77" spans="1:4" x14ac:dyDescent="0.25">
      <c r="A77" s="88" t="s">
        <v>22</v>
      </c>
      <c r="B77" s="89"/>
      <c r="C77" s="11"/>
      <c r="D77" s="97"/>
    </row>
    <row r="78" spans="1:4" x14ac:dyDescent="0.25">
      <c r="A78" s="105" t="s">
        <v>64</v>
      </c>
      <c r="B78" s="106">
        <f>SUM(B79:B84)</f>
        <v>0</v>
      </c>
      <c r="C78" s="2" t="s">
        <v>65</v>
      </c>
      <c r="D78" s="119"/>
    </row>
    <row r="79" spans="1:4" x14ac:dyDescent="0.25">
      <c r="A79" s="88" t="s">
        <v>66</v>
      </c>
      <c r="B79" s="89"/>
      <c r="C79" s="11"/>
      <c r="D79" s="97"/>
    </row>
    <row r="80" spans="1:4" x14ac:dyDescent="0.25">
      <c r="A80" s="88" t="s">
        <v>67</v>
      </c>
      <c r="B80" s="89"/>
      <c r="C80" s="11"/>
      <c r="D80" s="97"/>
    </row>
    <row r="81" spans="1:4" x14ac:dyDescent="0.25">
      <c r="A81" s="88" t="s">
        <v>68</v>
      </c>
      <c r="B81" s="89"/>
      <c r="C81" s="11"/>
      <c r="D81" s="97"/>
    </row>
    <row r="82" spans="1:4" x14ac:dyDescent="0.25">
      <c r="A82" s="88" t="s">
        <v>69</v>
      </c>
      <c r="B82" s="89"/>
      <c r="C82" s="11"/>
      <c r="D82" s="97"/>
    </row>
    <row r="83" spans="1:4" x14ac:dyDescent="0.25">
      <c r="A83" s="88" t="s">
        <v>70</v>
      </c>
      <c r="B83" s="89"/>
      <c r="C83" s="11"/>
      <c r="D83" s="97"/>
    </row>
    <row r="84" spans="1:4" x14ac:dyDescent="0.25">
      <c r="A84" s="88" t="s">
        <v>212</v>
      </c>
      <c r="B84" s="89"/>
      <c r="D84" s="97"/>
    </row>
    <row r="85" spans="1:4" x14ac:dyDescent="0.25">
      <c r="A85" s="105" t="s">
        <v>71</v>
      </c>
      <c r="B85" s="106">
        <f>SUM(B86:B89)</f>
        <v>0</v>
      </c>
      <c r="C85" s="2" t="s">
        <v>65</v>
      </c>
      <c r="D85" s="119"/>
    </row>
    <row r="86" spans="1:4" x14ac:dyDescent="0.25">
      <c r="A86" s="88" t="s">
        <v>72</v>
      </c>
      <c r="B86" s="89"/>
      <c r="C86" s="11"/>
      <c r="D86" s="97"/>
    </row>
    <row r="87" spans="1:4" x14ac:dyDescent="0.25">
      <c r="A87" s="88" t="s">
        <v>213</v>
      </c>
      <c r="B87" s="89"/>
      <c r="C87" s="11"/>
      <c r="D87" s="97"/>
    </row>
    <row r="88" spans="1:4" x14ac:dyDescent="0.25">
      <c r="A88" s="88" t="s">
        <v>214</v>
      </c>
      <c r="B88" s="89"/>
      <c r="C88" s="11"/>
      <c r="D88" s="97"/>
    </row>
    <row r="89" spans="1:4" x14ac:dyDescent="0.25">
      <c r="A89" s="88" t="s">
        <v>22</v>
      </c>
      <c r="B89" s="104"/>
      <c r="C89" s="11"/>
      <c r="D89" s="97"/>
    </row>
    <row r="90" spans="1:4" x14ac:dyDescent="0.25">
      <c r="A90" s="105" t="s">
        <v>73</v>
      </c>
      <c r="B90" s="106">
        <f>SUM(B91:B98)</f>
        <v>0</v>
      </c>
      <c r="C90" s="2"/>
      <c r="D90" s="119"/>
    </row>
    <row r="91" spans="1:4" x14ac:dyDescent="0.25">
      <c r="A91" s="88" t="s">
        <v>74</v>
      </c>
      <c r="B91" s="104"/>
      <c r="C91" s="11"/>
      <c r="D91" s="97"/>
    </row>
    <row r="92" spans="1:4" x14ac:dyDescent="0.25">
      <c r="A92" s="88" t="s">
        <v>75</v>
      </c>
      <c r="B92" s="104"/>
      <c r="C92" s="11"/>
      <c r="D92" s="97"/>
    </row>
    <row r="93" spans="1:4" x14ac:dyDescent="0.25">
      <c r="A93" s="88" t="s">
        <v>76</v>
      </c>
      <c r="B93" s="104"/>
      <c r="C93" s="11"/>
      <c r="D93" s="97"/>
    </row>
    <row r="94" spans="1:4" x14ac:dyDescent="0.25">
      <c r="A94" s="88" t="s">
        <v>220</v>
      </c>
      <c r="B94" s="104"/>
      <c r="C94" s="11"/>
      <c r="D94" s="97"/>
    </row>
    <row r="95" spans="1:4" x14ac:dyDescent="0.25">
      <c r="A95" s="88" t="s">
        <v>218</v>
      </c>
      <c r="B95" s="104"/>
      <c r="C95" s="11"/>
      <c r="D95" s="97"/>
    </row>
    <row r="96" spans="1:4" x14ac:dyDescent="0.25">
      <c r="A96" s="88" t="s">
        <v>217</v>
      </c>
      <c r="B96" s="104"/>
      <c r="C96" s="11"/>
      <c r="D96" s="97"/>
    </row>
    <row r="97" spans="1:4" x14ac:dyDescent="0.25">
      <c r="A97" s="88" t="s">
        <v>215</v>
      </c>
      <c r="B97" s="104"/>
      <c r="C97" s="11"/>
      <c r="D97" s="97"/>
    </row>
    <row r="98" spans="1:4" x14ac:dyDescent="0.25">
      <c r="A98" s="88" t="s">
        <v>216</v>
      </c>
      <c r="B98" s="104"/>
      <c r="C98" s="11"/>
      <c r="D98" s="97"/>
    </row>
    <row r="99" spans="1:4" x14ac:dyDescent="0.25">
      <c r="A99" s="105" t="s">
        <v>77</v>
      </c>
      <c r="B99" s="106">
        <f>SUM(B100:B105)</f>
        <v>0</v>
      </c>
      <c r="C99" s="2"/>
      <c r="D99" s="119"/>
    </row>
    <row r="100" spans="1:4" x14ac:dyDescent="0.25">
      <c r="A100" s="88" t="s">
        <v>78</v>
      </c>
      <c r="B100" s="104"/>
      <c r="C100" s="11"/>
      <c r="D100" s="97"/>
    </row>
    <row r="101" spans="1:4" x14ac:dyDescent="0.25">
      <c r="A101" s="88" t="s">
        <v>79</v>
      </c>
      <c r="B101" s="104"/>
      <c r="C101" s="11"/>
      <c r="D101" s="97"/>
    </row>
    <row r="102" spans="1:4" x14ac:dyDescent="0.25">
      <c r="A102" s="88" t="s">
        <v>80</v>
      </c>
      <c r="B102" s="104"/>
      <c r="C102" s="11"/>
      <c r="D102" s="97"/>
    </row>
    <row r="103" spans="1:4" x14ac:dyDescent="0.25">
      <c r="A103" s="88" t="s">
        <v>242</v>
      </c>
      <c r="B103" s="104"/>
      <c r="C103" s="11"/>
      <c r="D103" s="97"/>
    </row>
    <row r="104" spans="1:4" x14ac:dyDescent="0.25">
      <c r="A104" s="88" t="s">
        <v>22</v>
      </c>
      <c r="B104" s="104"/>
      <c r="C104" s="11"/>
      <c r="D104" s="97"/>
    </row>
    <row r="105" spans="1:4" x14ac:dyDescent="0.25">
      <c r="A105" s="88" t="s">
        <v>22</v>
      </c>
      <c r="B105" s="104"/>
      <c r="C105" s="11"/>
      <c r="D105" s="97"/>
    </row>
    <row r="106" spans="1:4" x14ac:dyDescent="0.25">
      <c r="A106" s="6" t="s">
        <v>81</v>
      </c>
      <c r="B106" s="7"/>
      <c r="C106" s="101" t="s">
        <v>16</v>
      </c>
      <c r="D106" s="118" t="s">
        <v>17</v>
      </c>
    </row>
    <row r="107" spans="1:4" x14ac:dyDescent="0.25">
      <c r="A107" s="6"/>
      <c r="B107" s="7"/>
      <c r="C107" s="101"/>
      <c r="D107" s="118"/>
    </row>
    <row r="108" spans="1:4" x14ac:dyDescent="0.25">
      <c r="A108" s="105" t="s">
        <v>82</v>
      </c>
      <c r="B108" s="136">
        <f>SUM(B109:B112)</f>
        <v>0</v>
      </c>
      <c r="C108" s="2" t="s">
        <v>83</v>
      </c>
      <c r="D108" s="119"/>
    </row>
    <row r="109" spans="1:4" x14ac:dyDescent="0.25">
      <c r="A109" s="105" t="s">
        <v>248</v>
      </c>
      <c r="B109" s="104"/>
      <c r="C109" s="11"/>
      <c r="D109" s="97"/>
    </row>
    <row r="110" spans="1:4" x14ac:dyDescent="0.25">
      <c r="A110" s="103"/>
      <c r="B110" s="104"/>
      <c r="C110" s="11"/>
      <c r="D110" s="97"/>
    </row>
    <row r="111" spans="1:4" x14ac:dyDescent="0.25">
      <c r="A111" s="103"/>
      <c r="B111" s="104"/>
      <c r="C111" s="11"/>
      <c r="D111" s="97"/>
    </row>
    <row r="112" spans="1:4" x14ac:dyDescent="0.25">
      <c r="A112" s="103"/>
      <c r="B112" s="104"/>
      <c r="C112" s="11"/>
      <c r="D112" s="9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8181"/>
    <pageSetUpPr fitToPage="1"/>
  </sheetPr>
  <dimension ref="A1:E55"/>
  <sheetViews>
    <sheetView topLeftCell="A17" zoomScaleNormal="100" workbookViewId="0">
      <selection activeCell="B35" sqref="B35"/>
    </sheetView>
  </sheetViews>
  <sheetFormatPr baseColWidth="10" defaultColWidth="11.42578125" defaultRowHeight="15" x14ac:dyDescent="0.25"/>
  <cols>
    <col min="1" max="1" width="39.85546875" customWidth="1"/>
    <col min="2" max="2" width="13.7109375" style="12" bestFit="1" customWidth="1"/>
    <col min="3" max="3" width="25.7109375" style="12" customWidth="1"/>
    <col min="4" max="4" width="25.5703125" customWidth="1"/>
    <col min="5" max="5" width="8" customWidth="1"/>
  </cols>
  <sheetData>
    <row r="1" spans="1:4" ht="30" customHeight="1" x14ac:dyDescent="0.25">
      <c r="A1" s="190" t="s">
        <v>87</v>
      </c>
      <c r="B1" s="190"/>
      <c r="C1" s="190"/>
      <c r="D1" s="190"/>
    </row>
    <row r="2" spans="1:4" x14ac:dyDescent="0.25">
      <c r="A2" s="86" t="s">
        <v>88</v>
      </c>
      <c r="B2" s="100">
        <f>SUM(B3:B8)</f>
        <v>0</v>
      </c>
      <c r="C2" s="92" t="s">
        <v>89</v>
      </c>
      <c r="D2" s="92" t="s">
        <v>17</v>
      </c>
    </row>
    <row r="3" spans="1:4" ht="14.45" customHeight="1" x14ac:dyDescent="0.25">
      <c r="A3" s="88" t="s">
        <v>90</v>
      </c>
      <c r="B3" s="89"/>
      <c r="C3" s="186" t="s">
        <v>85</v>
      </c>
      <c r="D3" s="11"/>
    </row>
    <row r="4" spans="1:4" x14ac:dyDescent="0.25">
      <c r="A4" s="88" t="s">
        <v>91</v>
      </c>
      <c r="B4" s="89"/>
      <c r="C4" s="188"/>
      <c r="D4" s="186"/>
    </row>
    <row r="5" spans="1:4" x14ac:dyDescent="0.25">
      <c r="A5" s="88" t="s">
        <v>92</v>
      </c>
      <c r="B5" s="89"/>
      <c r="C5" s="189"/>
      <c r="D5" s="187"/>
    </row>
    <row r="6" spans="1:4" hidden="1" x14ac:dyDescent="0.25">
      <c r="A6" s="8" t="s">
        <v>22</v>
      </c>
      <c r="B6" s="50"/>
      <c r="C6" s="5"/>
      <c r="D6" s="1"/>
    </row>
    <row r="7" spans="1:4" hidden="1" x14ac:dyDescent="0.25">
      <c r="A7" s="8" t="s">
        <v>22</v>
      </c>
      <c r="B7" s="50"/>
      <c r="C7" s="5"/>
      <c r="D7" s="1"/>
    </row>
    <row r="8" spans="1:4" hidden="1" x14ac:dyDescent="0.25">
      <c r="A8" s="8" t="s">
        <v>22</v>
      </c>
      <c r="B8" s="50"/>
      <c r="C8" s="5"/>
      <c r="D8" s="1"/>
    </row>
    <row r="9" spans="1:4" x14ac:dyDescent="0.25">
      <c r="A9" s="6" t="s">
        <v>93</v>
      </c>
      <c r="B9" s="100">
        <f>SUM(B10:B40)</f>
        <v>0</v>
      </c>
      <c r="C9" s="92" t="s">
        <v>89</v>
      </c>
      <c r="D9" s="92" t="s">
        <v>17</v>
      </c>
    </row>
    <row r="10" spans="1:4" ht="14.45" customHeight="1" x14ac:dyDescent="0.25">
      <c r="A10" s="88" t="s">
        <v>94</v>
      </c>
      <c r="B10" s="89"/>
      <c r="C10" s="56"/>
      <c r="D10" s="186" t="s">
        <v>241</v>
      </c>
    </row>
    <row r="11" spans="1:4" x14ac:dyDescent="0.25">
      <c r="A11" s="88" t="s">
        <v>95</v>
      </c>
      <c r="B11" s="137"/>
      <c r="C11" s="90"/>
      <c r="D11" s="189"/>
    </row>
    <row r="12" spans="1:4" x14ac:dyDescent="0.25">
      <c r="A12" s="88" t="s">
        <v>96</v>
      </c>
      <c r="B12" s="89"/>
      <c r="C12" s="90"/>
      <c r="D12" s="91"/>
    </row>
    <row r="13" spans="1:4" x14ac:dyDescent="0.25">
      <c r="A13" s="88" t="s">
        <v>244</v>
      </c>
      <c r="B13" s="89"/>
      <c r="C13" s="90"/>
      <c r="D13" s="91"/>
    </row>
    <row r="14" spans="1:4" x14ac:dyDescent="0.25">
      <c r="A14" s="88" t="s">
        <v>97</v>
      </c>
      <c r="B14" s="89"/>
      <c r="C14" s="122"/>
      <c r="D14" s="91"/>
    </row>
    <row r="15" spans="1:4" x14ac:dyDescent="0.25">
      <c r="A15" s="88" t="s">
        <v>98</v>
      </c>
      <c r="B15" s="89"/>
      <c r="C15" s="90"/>
      <c r="D15" s="11"/>
    </row>
    <row r="16" spans="1:4" x14ac:dyDescent="0.25">
      <c r="A16" s="88" t="s">
        <v>99</v>
      </c>
      <c r="B16" s="89"/>
      <c r="C16" s="90"/>
      <c r="D16" s="11"/>
    </row>
    <row r="17" spans="1:4" x14ac:dyDescent="0.25">
      <c r="A17" s="88" t="s">
        <v>234</v>
      </c>
      <c r="B17" s="89"/>
      <c r="C17" s="90"/>
      <c r="D17" s="11"/>
    </row>
    <row r="18" spans="1:4" x14ac:dyDescent="0.25">
      <c r="A18" s="88" t="s">
        <v>100</v>
      </c>
      <c r="B18" s="89"/>
      <c r="C18" s="90"/>
      <c r="D18" s="11"/>
    </row>
    <row r="19" spans="1:4" x14ac:dyDescent="0.25">
      <c r="A19" s="88" t="s">
        <v>86</v>
      </c>
      <c r="B19" s="89"/>
      <c r="C19" s="90"/>
      <c r="D19" s="98"/>
    </row>
    <row r="20" spans="1:4" x14ac:dyDescent="0.25">
      <c r="A20" s="88" t="s">
        <v>101</v>
      </c>
      <c r="B20" s="89"/>
      <c r="C20" s="91"/>
      <c r="D20" s="11"/>
    </row>
    <row r="21" spans="1:4" x14ac:dyDescent="0.25">
      <c r="A21" s="88" t="s">
        <v>102</v>
      </c>
      <c r="B21" s="89"/>
      <c r="C21" s="96"/>
      <c r="D21" s="90"/>
    </row>
    <row r="22" spans="1:4" x14ac:dyDescent="0.25">
      <c r="A22" s="88" t="s">
        <v>103</v>
      </c>
      <c r="B22" s="89"/>
      <c r="C22" s="96"/>
      <c r="D22" s="90"/>
    </row>
    <row r="23" spans="1:4" x14ac:dyDescent="0.25">
      <c r="A23" s="88" t="s">
        <v>104</v>
      </c>
      <c r="B23" s="89"/>
      <c r="C23" s="96"/>
      <c r="D23" s="90"/>
    </row>
    <row r="24" spans="1:4" x14ac:dyDescent="0.25">
      <c r="A24" s="88" t="s">
        <v>105</v>
      </c>
      <c r="B24" s="89"/>
      <c r="C24" s="96"/>
      <c r="D24" s="90"/>
    </row>
    <row r="25" spans="1:4" x14ac:dyDescent="0.25">
      <c r="A25" s="88" t="s">
        <v>106</v>
      </c>
      <c r="B25" s="89"/>
      <c r="C25" s="96"/>
      <c r="D25" s="90"/>
    </row>
    <row r="26" spans="1:4" x14ac:dyDescent="0.25">
      <c r="A26" s="88" t="s">
        <v>107</v>
      </c>
      <c r="B26" s="89"/>
      <c r="C26" s="96"/>
      <c r="D26" s="90"/>
    </row>
    <row r="27" spans="1:4" x14ac:dyDescent="0.25">
      <c r="A27" s="88" t="s">
        <v>108</v>
      </c>
      <c r="B27" s="89"/>
      <c r="C27" s="90"/>
      <c r="D27" s="11"/>
    </row>
    <row r="28" spans="1:4" x14ac:dyDescent="0.25">
      <c r="A28" s="88" t="s">
        <v>243</v>
      </c>
      <c r="B28" s="89"/>
      <c r="C28" s="90"/>
      <c r="D28" s="11"/>
    </row>
    <row r="29" spans="1:4" x14ac:dyDescent="0.25">
      <c r="A29" s="88" t="s">
        <v>109</v>
      </c>
      <c r="B29" s="89"/>
      <c r="C29" s="90"/>
      <c r="D29" s="11"/>
    </row>
    <row r="30" spans="1:4" x14ac:dyDescent="0.25">
      <c r="A30" s="88" t="s">
        <v>110</v>
      </c>
      <c r="B30" s="89"/>
      <c r="C30" s="90"/>
      <c r="D30" s="11"/>
    </row>
    <row r="31" spans="1:4" x14ac:dyDescent="0.25">
      <c r="A31" s="88" t="s">
        <v>270</v>
      </c>
      <c r="B31" s="89"/>
      <c r="C31" s="90"/>
      <c r="D31" s="98"/>
    </row>
    <row r="32" spans="1:4" x14ac:dyDescent="0.25">
      <c r="A32" s="88" t="s">
        <v>111</v>
      </c>
      <c r="B32" s="89"/>
      <c r="C32" s="90"/>
      <c r="D32" s="11"/>
    </row>
    <row r="33" spans="1:5" x14ac:dyDescent="0.25">
      <c r="A33" s="88" t="s">
        <v>112</v>
      </c>
      <c r="B33" s="89"/>
      <c r="C33" s="90"/>
      <c r="D33" s="11"/>
    </row>
    <row r="34" spans="1:5" x14ac:dyDescent="0.25">
      <c r="A34" s="88" t="s">
        <v>113</v>
      </c>
      <c r="B34" s="89"/>
      <c r="C34" s="90"/>
      <c r="D34" s="11"/>
    </row>
    <row r="35" spans="1:5" x14ac:dyDescent="0.25">
      <c r="A35" s="88" t="s">
        <v>114</v>
      </c>
      <c r="B35" s="89"/>
      <c r="C35" s="90"/>
      <c r="D35" s="11"/>
    </row>
    <row r="36" spans="1:5" x14ac:dyDescent="0.25">
      <c r="A36" s="88" t="s">
        <v>84</v>
      </c>
      <c r="B36" s="89"/>
      <c r="C36" s="97"/>
      <c r="D36" s="91"/>
    </row>
    <row r="37" spans="1:5" x14ac:dyDescent="0.25">
      <c r="A37" s="88" t="s">
        <v>115</v>
      </c>
      <c r="B37" s="89"/>
      <c r="C37" s="96"/>
      <c r="D37" s="90"/>
    </row>
    <row r="38" spans="1:5" x14ac:dyDescent="0.25">
      <c r="A38" s="88" t="s">
        <v>116</v>
      </c>
      <c r="B38" s="89"/>
      <c r="C38" s="96"/>
      <c r="D38" s="90"/>
    </row>
    <row r="39" spans="1:5" x14ac:dyDescent="0.25">
      <c r="A39" s="88" t="s">
        <v>22</v>
      </c>
      <c r="B39" s="89"/>
      <c r="C39" s="96"/>
      <c r="D39" s="11"/>
    </row>
    <row r="40" spans="1:5" x14ac:dyDescent="0.25">
      <c r="A40" s="88" t="s">
        <v>22</v>
      </c>
      <c r="B40" s="89"/>
      <c r="C40" s="96"/>
      <c r="D40" s="11"/>
      <c r="E40" s="5"/>
    </row>
    <row r="41" spans="1:5" x14ac:dyDescent="0.25">
      <c r="A41" s="99" t="s">
        <v>117</v>
      </c>
      <c r="B41" s="100">
        <f>SUM(B42:B47)</f>
        <v>0</v>
      </c>
      <c r="C41" s="92" t="s">
        <v>89</v>
      </c>
      <c r="D41" s="92" t="s">
        <v>17</v>
      </c>
    </row>
    <row r="42" spans="1:5" x14ac:dyDescent="0.25">
      <c r="A42" s="88" t="s">
        <v>118</v>
      </c>
      <c r="B42" s="89"/>
      <c r="C42" s="11"/>
      <c r="D42" s="11"/>
      <c r="E42" s="5"/>
    </row>
    <row r="43" spans="1:5" x14ac:dyDescent="0.25">
      <c r="A43" s="88" t="s">
        <v>119</v>
      </c>
      <c r="B43" s="89"/>
      <c r="C43" s="11"/>
      <c r="D43" s="11"/>
      <c r="E43" s="5"/>
    </row>
    <row r="44" spans="1:5" x14ac:dyDescent="0.25">
      <c r="A44" s="88" t="s">
        <v>120</v>
      </c>
      <c r="B44" s="89"/>
      <c r="C44" s="11"/>
      <c r="D44" s="90"/>
    </row>
    <row r="45" spans="1:5" x14ac:dyDescent="0.25">
      <c r="A45" s="88" t="s">
        <v>22</v>
      </c>
      <c r="B45" s="89"/>
      <c r="C45" s="11"/>
      <c r="D45" s="11"/>
      <c r="E45" s="5"/>
    </row>
    <row r="46" spans="1:5" x14ac:dyDescent="0.25">
      <c r="A46" s="88" t="s">
        <v>22</v>
      </c>
      <c r="B46" s="89"/>
      <c r="C46" s="11"/>
      <c r="D46" s="11"/>
      <c r="E46" s="5"/>
    </row>
    <row r="47" spans="1:5" x14ac:dyDescent="0.25">
      <c r="A47" s="88" t="s">
        <v>22</v>
      </c>
      <c r="B47" s="89"/>
      <c r="C47" s="11"/>
      <c r="D47" s="11"/>
      <c r="E47" s="5"/>
    </row>
    <row r="48" spans="1:5" x14ac:dyDescent="0.25">
      <c r="A48" s="6" t="s">
        <v>121</v>
      </c>
      <c r="B48" s="100">
        <f>SUM(B49:B54)</f>
        <v>0</v>
      </c>
      <c r="C48" s="92" t="s">
        <v>89</v>
      </c>
      <c r="D48" s="92" t="s">
        <v>17</v>
      </c>
      <c r="E48" s="4"/>
    </row>
    <row r="49" spans="1:5" x14ac:dyDescent="0.25">
      <c r="A49" s="88" t="s">
        <v>122</v>
      </c>
      <c r="B49" s="89"/>
      <c r="C49" s="11"/>
      <c r="D49" s="11"/>
      <c r="E49" s="5"/>
    </row>
    <row r="50" spans="1:5" x14ac:dyDescent="0.25">
      <c r="A50" s="88" t="s">
        <v>123</v>
      </c>
      <c r="B50" s="89"/>
      <c r="C50" s="11"/>
      <c r="D50" s="11"/>
      <c r="E50" s="5"/>
    </row>
    <row r="51" spans="1:5" x14ac:dyDescent="0.25">
      <c r="A51" s="88" t="s">
        <v>124</v>
      </c>
      <c r="B51" s="89"/>
      <c r="C51" s="11"/>
      <c r="D51" s="11"/>
      <c r="E51" s="5"/>
    </row>
    <row r="52" spans="1:5" x14ac:dyDescent="0.25">
      <c r="A52" s="88" t="s">
        <v>22</v>
      </c>
      <c r="B52" s="89"/>
      <c r="C52" s="11"/>
      <c r="D52" s="56"/>
    </row>
    <row r="53" spans="1:5" x14ac:dyDescent="0.25">
      <c r="A53" s="88" t="s">
        <v>22</v>
      </c>
      <c r="B53" s="89"/>
      <c r="C53" s="11"/>
      <c r="D53" s="56"/>
    </row>
    <row r="54" spans="1:5" x14ac:dyDescent="0.25">
      <c r="A54" s="88" t="s">
        <v>22</v>
      </c>
      <c r="B54" s="89"/>
      <c r="C54" s="11"/>
      <c r="D54" s="56"/>
    </row>
    <row r="55" spans="1:5" x14ac:dyDescent="0.25">
      <c r="A55" s="9" t="s">
        <v>125</v>
      </c>
      <c r="B55" s="94">
        <f>SUM(B2+B9+B41+B48)</f>
        <v>0</v>
      </c>
      <c r="C55" s="51"/>
      <c r="D55" s="95"/>
      <c r="E55" s="4"/>
    </row>
  </sheetData>
  <mergeCells count="4">
    <mergeCell ref="D4:D5"/>
    <mergeCell ref="C3:C5"/>
    <mergeCell ref="A1:D1"/>
    <mergeCell ref="D10:D11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8181"/>
    <pageSetUpPr fitToPage="1"/>
  </sheetPr>
  <dimension ref="A1:Y25"/>
  <sheetViews>
    <sheetView zoomScale="90" zoomScaleNormal="90" workbookViewId="0">
      <selection activeCell="E16" sqref="E16"/>
    </sheetView>
  </sheetViews>
  <sheetFormatPr baseColWidth="10" defaultColWidth="11.42578125" defaultRowHeight="15" x14ac:dyDescent="0.25"/>
  <cols>
    <col min="1" max="1" width="17.28515625" customWidth="1"/>
    <col min="2" max="2" width="11" customWidth="1"/>
    <col min="3" max="3" width="11.140625" bestFit="1" customWidth="1"/>
    <col min="4" max="4" width="11.85546875" customWidth="1"/>
    <col min="5" max="5" width="6.7109375" customWidth="1"/>
    <col min="6" max="6" width="12.42578125" bestFit="1" customWidth="1"/>
    <col min="7" max="7" width="8.140625" customWidth="1"/>
    <col min="8" max="8" width="11" customWidth="1"/>
    <col min="9" max="9" width="12.140625" customWidth="1"/>
    <col min="10" max="10" width="11.42578125" customWidth="1"/>
    <col min="11" max="11" width="10.28515625" bestFit="1" customWidth="1"/>
    <col min="12" max="12" width="11.28515625" customWidth="1"/>
    <col min="13" max="13" width="11.140625" hidden="1" customWidth="1"/>
    <col min="14" max="14" width="9.42578125" bestFit="1" customWidth="1"/>
    <col min="15" max="15" width="10.28515625" bestFit="1" customWidth="1"/>
    <col min="16" max="16" width="11" customWidth="1"/>
    <col min="17" max="17" width="8" customWidth="1"/>
    <col min="18" max="18" width="10.7109375" customWidth="1"/>
    <col min="19" max="19" width="12" customWidth="1"/>
    <col min="20" max="20" width="11.7109375" customWidth="1"/>
    <col min="21" max="22" width="11" bestFit="1" customWidth="1"/>
    <col min="23" max="23" width="19.5703125" customWidth="1"/>
  </cols>
  <sheetData>
    <row r="1" spans="1:25" ht="27.75" customHeight="1" x14ac:dyDescent="0.25">
      <c r="A1" s="182" t="s">
        <v>126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3"/>
    </row>
    <row r="2" spans="1:25" ht="23.1" customHeight="1" x14ac:dyDescent="0.25">
      <c r="A2" s="1" t="str">
        <f>Signalétique!A10</f>
        <v xml:space="preserve">Capacité </v>
      </c>
      <c r="B2" s="1">
        <f>Signalétique!B10</f>
        <v>8</v>
      </c>
    </row>
    <row r="3" spans="1:25" ht="12.6" customHeight="1" x14ac:dyDescent="0.25">
      <c r="E3" s="49"/>
      <c r="F3" s="12"/>
      <c r="G3" s="12"/>
      <c r="H3" s="12"/>
      <c r="P3" s="52"/>
      <c r="Q3" s="52"/>
      <c r="R3" s="52"/>
      <c r="S3" s="52"/>
    </row>
    <row r="4" spans="1:25" ht="14.25" customHeight="1" x14ac:dyDescent="0.25">
      <c r="A4" s="192" t="s">
        <v>127</v>
      </c>
      <c r="B4" s="69" t="s">
        <v>128</v>
      </c>
      <c r="C4" s="70">
        <v>2</v>
      </c>
      <c r="D4" s="71" t="s">
        <v>129</v>
      </c>
      <c r="E4" s="49"/>
      <c r="F4" s="12"/>
      <c r="G4" s="12"/>
      <c r="H4" s="44"/>
      <c r="R4" s="82"/>
      <c r="S4" s="82"/>
    </row>
    <row r="5" spans="1:25" ht="15.75" thickBot="1" x14ac:dyDescent="0.3">
      <c r="A5" s="193"/>
      <c r="B5" s="72" t="s">
        <v>130</v>
      </c>
      <c r="C5" s="142">
        <f>(1/18)*2</f>
        <v>0.1111111111111111</v>
      </c>
      <c r="D5" s="73" t="s">
        <v>129</v>
      </c>
      <c r="E5" s="49"/>
      <c r="F5" s="12"/>
      <c r="G5" s="12"/>
      <c r="H5" s="44"/>
      <c r="I5" s="12"/>
      <c r="J5" s="12"/>
      <c r="P5" s="93"/>
      <c r="Q5" s="93"/>
      <c r="R5" s="145"/>
      <c r="S5" s="145"/>
    </row>
    <row r="6" spans="1:25" ht="28.5" customHeight="1" x14ac:dyDescent="0.25">
      <c r="A6" s="192" t="s">
        <v>254</v>
      </c>
      <c r="B6" s="150" t="s">
        <v>132</v>
      </c>
      <c r="C6" s="74"/>
      <c r="D6" s="75" t="s">
        <v>129</v>
      </c>
      <c r="F6" s="201" t="s">
        <v>221</v>
      </c>
      <c r="G6" s="202"/>
      <c r="H6" s="203"/>
      <c r="P6" s="93"/>
      <c r="Q6" s="93"/>
      <c r="R6" s="143"/>
      <c r="S6" s="143"/>
    </row>
    <row r="7" spans="1:25" ht="15.75" thickBot="1" x14ac:dyDescent="0.3">
      <c r="A7" s="193"/>
      <c r="B7" s="44" t="s">
        <v>133</v>
      </c>
      <c r="C7" s="76"/>
      <c r="D7" s="77" t="s">
        <v>129</v>
      </c>
      <c r="F7" s="124" t="s">
        <v>222</v>
      </c>
      <c r="G7" s="204">
        <f>3*(J18+(O18/12))</f>
        <v>20719.2269054239</v>
      </c>
      <c r="H7" s="205"/>
      <c r="P7" s="93"/>
      <c r="Q7" s="93"/>
      <c r="R7" s="144"/>
      <c r="S7" s="144"/>
    </row>
    <row r="8" spans="1:25" x14ac:dyDescent="0.25">
      <c r="A8" s="194"/>
      <c r="B8" s="43" t="s">
        <v>134</v>
      </c>
      <c r="C8" s="78"/>
      <c r="D8" s="79" t="s">
        <v>129</v>
      </c>
      <c r="Q8" s="93"/>
      <c r="S8" s="144"/>
    </row>
    <row r="9" spans="1:25" s="54" customFormat="1" ht="36" x14ac:dyDescent="0.25">
      <c r="I9" s="82"/>
      <c r="J9" s="93"/>
      <c r="K9" s="93"/>
      <c r="L9" s="82"/>
      <c r="M9" s="93"/>
      <c r="P9" s="148"/>
      <c r="Q9" s="116" t="s">
        <v>303</v>
      </c>
      <c r="R9" s="144"/>
      <c r="S9" s="147"/>
    </row>
    <row r="10" spans="1:25" ht="21.6" customHeight="1" x14ac:dyDescent="0.25">
      <c r="A10" s="47" t="s">
        <v>135</v>
      </c>
      <c r="B10" s="199">
        <f>W18</f>
        <v>92987.418000849371</v>
      </c>
      <c r="C10" s="200"/>
      <c r="D10" s="158"/>
      <c r="E10" s="158"/>
      <c r="K10" s="66"/>
      <c r="N10" s="66"/>
      <c r="P10" s="176">
        <v>1.7000000000000001E-2</v>
      </c>
      <c r="Q10" s="67">
        <v>95.75</v>
      </c>
      <c r="R10" s="196" t="s">
        <v>136</v>
      </c>
      <c r="S10" s="197"/>
      <c r="T10" s="198"/>
      <c r="U10" s="148"/>
      <c r="V10" s="116"/>
      <c r="X10" s="116" t="s">
        <v>137</v>
      </c>
    </row>
    <row r="11" spans="1:25" s="14" customFormat="1" ht="51" x14ac:dyDescent="0.25">
      <c r="A11" s="108" t="s">
        <v>138</v>
      </c>
      <c r="B11" s="108" t="s">
        <v>139</v>
      </c>
      <c r="C11" s="108" t="s">
        <v>140</v>
      </c>
      <c r="D11" s="108" t="s">
        <v>272</v>
      </c>
      <c r="E11" s="108" t="s">
        <v>273</v>
      </c>
      <c r="F11" s="108" t="s">
        <v>141</v>
      </c>
      <c r="G11" s="108" t="s">
        <v>257</v>
      </c>
      <c r="H11" s="108" t="s">
        <v>143</v>
      </c>
      <c r="I11" s="108" t="s">
        <v>129</v>
      </c>
      <c r="J11" s="108" t="s">
        <v>144</v>
      </c>
      <c r="K11" s="108" t="s">
        <v>145</v>
      </c>
      <c r="L11" s="108" t="s">
        <v>146</v>
      </c>
      <c r="M11" s="108" t="s">
        <v>147</v>
      </c>
      <c r="N11" s="108" t="s">
        <v>148</v>
      </c>
      <c r="O11" s="108" t="s">
        <v>149</v>
      </c>
      <c r="P11" s="108" t="s">
        <v>150</v>
      </c>
      <c r="Q11" s="108" t="s">
        <v>151</v>
      </c>
      <c r="R11" s="172" t="s">
        <v>299</v>
      </c>
      <c r="S11" s="172" t="s">
        <v>152</v>
      </c>
      <c r="T11" s="172" t="s">
        <v>153</v>
      </c>
      <c r="U11" s="172" t="s">
        <v>304</v>
      </c>
      <c r="V11" s="108" t="s">
        <v>258</v>
      </c>
      <c r="W11" s="108" t="s">
        <v>154</v>
      </c>
      <c r="X11" s="108" t="s">
        <v>155</v>
      </c>
      <c r="Y11" s="108" t="s">
        <v>156</v>
      </c>
    </row>
    <row r="12" spans="1:25" s="13" customFormat="1" ht="12.75" x14ac:dyDescent="0.2">
      <c r="A12" s="32" t="s">
        <v>128</v>
      </c>
      <c r="B12" s="32" t="s">
        <v>157</v>
      </c>
      <c r="C12" s="48" t="s">
        <v>158</v>
      </c>
      <c r="D12" s="48" t="s">
        <v>245</v>
      </c>
      <c r="E12" s="48" t="s">
        <v>274</v>
      </c>
      <c r="F12" s="149" t="s">
        <v>159</v>
      </c>
      <c r="G12" s="48">
        <v>0</v>
      </c>
      <c r="H12" s="45">
        <f>IF(E12='Financements emploi'!$A$13,VLOOKUP(G12,'E3'!$A$3:$L$34,4,FALSE),
IF(E12='Financements emploi'!$A$14,VLOOKUP(G12,'D2'!$A$3:$L$34,4,FALSE),
IF(E12='Financements emploi'!$A$15,VLOOKUP(G12,'B1'!$A$3:$L$34,4,FALSE),
IF(E12='Financements emploi'!$A$16,VLOOKUP(G12,'B2'!$A$3:$L$34,4,FALSE),
IF(E12='Financements emploi'!$A$17,VLOOKUP(G12,'B3'!$A$3:$L$34,4,FALSE),0)))))</f>
        <v>2366.4046940833327</v>
      </c>
      <c r="I12" s="48">
        <v>1</v>
      </c>
      <c r="J12" s="15">
        <f>H12*I12</f>
        <v>2366.4046940833327</v>
      </c>
      <c r="K12" s="107">
        <f>J12*12</f>
        <v>28396.856328999995</v>
      </c>
      <c r="L12" s="107">
        <f>IF(E12='Financements emploi'!$A$13,VLOOKUP(G12,'E3'!$A$3:$L$34,6,FALSE),
IF(E12='Financements emploi'!$A$14,VLOOKUP(G12,'D2'!$A$3:$L$34,6,FALSE),
IF(E12='Financements emploi'!$A$15,VLOOKUP(G12,'B1'!$A$3:$L$34,6,FALSE),
IF(E12='Financements emploi'!$A$16,VLOOKUP(G12,'B2'!$A$3:$L$34,6,FALSE),
IF(E12='Financements emploi'!$A$17,VLOOKUP(G12,'B3'!$A$3:$L$34,6,FALSE),0)))))
*I12</f>
        <v>2177.0923185566662</v>
      </c>
      <c r="M12" s="107">
        <f t="shared" ref="M12:M17" si="0">IF(B12=$V$21,$K12*$V$23*$V$24,0)</f>
        <v>0</v>
      </c>
      <c r="N12" s="15">
        <f>IF(E12='Financements emploi'!$A$13,VLOOKUP(G12,'E3'!$A$3:$L$34,5,FALSE),
IF(E12='Financements emploi'!$A$14,VLOOKUP(G12,'D2'!$A$3:$L$34,5,FALSE),
IF(E12='Financements emploi'!$A$15,VLOOKUP(G12,'B1'!$A$3:$L$34,5,FALSE),
IF(E12='Financements emploi'!$A$16,VLOOKUP(G12,'B2'!$A$3:$L$34,5,FALSE),
IF(E12='Financements emploi'!$A$17,VLOOKUP(G12,'B3'!$A$3:$L$34,5,FALSE),0)))))
*I12</f>
        <v>1596.691408225</v>
      </c>
      <c r="O12" s="15">
        <f>IF(E12='Financements emploi'!$A$13,VLOOKUP(G12,'E3'!$A$3:$L$34,7,FALSE),
IF(E12='Financements emploi'!$A$14,VLOOKUP(G12,'D2'!$A$3:$L$34,7,FALSE),
IF(E12='Financements emploi'!$A$15,VLOOKUP(G12,'B1'!$A$3:$L$34,7,FALSE),
IF(E12='Financements emploi'!$A$16,VLOOKUP(G12,'B2'!$A$3:$L$34,7,FALSE),
IF(E12='Financements emploi'!$A$17,VLOOKUP(G12,'B3'!$A$3:$L$34,7,FALSE),0)))))
*I12</f>
        <v>8659.1372317368568</v>
      </c>
      <c r="P12" s="15">
        <f t="shared" ref="P12:P17" si="1">(K12+L12+N12)*$P$10</f>
        <v>546.9008809482882</v>
      </c>
      <c r="Q12" s="15">
        <f>IF(A12&lt;&gt;0,$Q$10,0)</f>
        <v>95.75</v>
      </c>
      <c r="R12" s="109"/>
      <c r="S12" s="109">
        <v>4</v>
      </c>
      <c r="T12" s="107">
        <f>$R12*$S12*4*10.5</f>
        <v>0</v>
      </c>
      <c r="U12" s="107"/>
      <c r="V12" s="125"/>
      <c r="W12" s="107">
        <f>K12+L12+N12+O12+P12+Q12+T12+U12</f>
        <v>41472.428168466809</v>
      </c>
      <c r="X12" s="15">
        <f t="shared" ref="X12:X17" si="2">IF($C12="OUI",IF($B12=$V$21,$K12*$V$23*$V$22,$K12*$W$22),0)</f>
        <v>5168.2278518779985</v>
      </c>
      <c r="Y12" s="61"/>
    </row>
    <row r="13" spans="1:25" s="13" customFormat="1" ht="12.75" x14ac:dyDescent="0.2">
      <c r="A13" s="32" t="s">
        <v>128</v>
      </c>
      <c r="B13" s="32" t="s">
        <v>157</v>
      </c>
      <c r="C13" s="48" t="s">
        <v>158</v>
      </c>
      <c r="D13" s="48" t="s">
        <v>245</v>
      </c>
      <c r="E13" s="48" t="s">
        <v>285</v>
      </c>
      <c r="F13" s="149" t="s">
        <v>159</v>
      </c>
      <c r="G13" s="48">
        <v>0</v>
      </c>
      <c r="H13" s="45">
        <f>IF(E13='Financements emploi'!$A$13,VLOOKUP(G13,'E3'!$A$3:$L$34,4,FALSE),
IF(E13='Financements emploi'!$A$14,VLOOKUP(G13,'D2'!$A$3:$L$34,4,FALSE),
IF(E13='Financements emploi'!$A$15,VLOOKUP(G13,'B1'!$A$3:$L$34,4,FALSE),
IF(E13='Financements emploi'!$A$16,VLOOKUP(G13,'B2'!$A$3:$L$34,4,FALSE),
IF(E13='Financements emploi'!$A$17,VLOOKUP(G13,'B3'!$A$3:$L$34,4,FALSE),0)))))</f>
        <v>2553.6760136666667</v>
      </c>
      <c r="I13" s="48">
        <v>1</v>
      </c>
      <c r="J13" s="15">
        <f t="shared" ref="J13:J17" si="3">H13*I13</f>
        <v>2553.6760136666667</v>
      </c>
      <c r="K13" s="107">
        <f t="shared" ref="K13:K17" si="4">J13*12</f>
        <v>30644.112163999998</v>
      </c>
      <c r="L13" s="107">
        <f>IF(E13='Financements emploi'!$A$13,VLOOKUP(G13,'E3'!$A$3:$L$34,6,FALSE),
IF(E13='Financements emploi'!$A$14,VLOOKUP(G13,'D2'!$A$3:$L$34,6,FALSE),
IF(E13='Financements emploi'!$A$15,VLOOKUP(G13,'B1'!$A$3:$L$34,6,FALSE),
IF(E13='Financements emploi'!$A$16,VLOOKUP(G13,'B2'!$A$3:$L$34,6,FALSE),
IF(E13='Financements emploi'!$A$17,VLOOKUP(G13,'B3'!$A$3:$L$34,6,FALSE),0)))))
*I13</f>
        <v>2349.3819325733334</v>
      </c>
      <c r="M13" s="107">
        <f t="shared" si="0"/>
        <v>0</v>
      </c>
      <c r="N13" s="15">
        <f>IF(E13='Financements emploi'!$A$13,VLOOKUP(G13,'E3'!$A$3:$L$34,5,FALSE),
IF(E13='Financements emploi'!$A$14,VLOOKUP(G13,'D2'!$A$3:$L$34,5,FALSE),
IF(E13='Financements emploi'!$A$15,VLOOKUP(G13,'B1'!$A$3:$L$34,5,FALSE),
IF(E13='Financements emploi'!$A$16,VLOOKUP(G13,'B2'!$A$3:$L$34,5,FALSE),
IF(E13='Financements emploi'!$A$17,VLOOKUP(G13,'B3'!$A$3:$L$34,5,FALSE),0)))))
*I13</f>
        <v>1652.8728040999999</v>
      </c>
      <c r="O13" s="15">
        <f>IF(E13='Financements emploi'!$A$13,VLOOKUP(G13,'E3'!$A$3:$L$34,7,FALSE),
IF(E13='Financements emploi'!$A$14,VLOOKUP(G13,'D2'!$A$3:$L$34,7,FALSE),
IF(E13='Financements emploi'!$A$15,VLOOKUP(G13,'B1'!$A$3:$L$34,7,FALSE),
IF(E13='Financements emploi'!$A$16,VLOOKUP(G13,'B2'!$A$3:$L$34,7,FALSE),
IF(E13='Financements emploi'!$A$17,VLOOKUP(G13,'B3'!$A$3:$L$34,7,FALSE),0)))))
*I13</f>
        <v>9324.1395602904704</v>
      </c>
      <c r="P13" s="15">
        <f t="shared" si="1"/>
        <v>588.98823731144671</v>
      </c>
      <c r="Q13" s="15">
        <f>IF(A13&lt;&gt;0,$Q$10,0)</f>
        <v>95.75</v>
      </c>
      <c r="R13" s="109">
        <v>2</v>
      </c>
      <c r="S13" s="109">
        <v>4</v>
      </c>
      <c r="T13" s="107">
        <f t="shared" ref="T13:T17" si="5">$R13*$S13*4*10.5</f>
        <v>336</v>
      </c>
      <c r="U13" s="107"/>
      <c r="V13" s="125"/>
      <c r="W13" s="107">
        <f t="shared" ref="W13:W17" si="6">K13+L13+N13+O13+P13+Q13+T13+U13</f>
        <v>44991.244698275252</v>
      </c>
      <c r="X13" s="15">
        <f t="shared" si="2"/>
        <v>5577.2284138479999</v>
      </c>
      <c r="Y13" s="61"/>
    </row>
    <row r="14" spans="1:25" s="13" customFormat="1" ht="12.75" x14ac:dyDescent="0.2">
      <c r="A14" s="32"/>
      <c r="B14" s="32"/>
      <c r="C14" s="48"/>
      <c r="D14" s="48"/>
      <c r="E14" s="48"/>
      <c r="F14" s="149"/>
      <c r="G14" s="48"/>
      <c r="H14" s="45">
        <f>IF(E14='Financements emploi'!$A$13,VLOOKUP(G14,'E3'!$A$3:$L$34,4,FALSE),
IF(E14='Financements emploi'!$A$14,VLOOKUP(G14,'D2'!$A$3:$L$34,4,FALSE),
IF(E14='Financements emploi'!$A$15,VLOOKUP(G14,'B1'!$A$3:$L$34,4,FALSE),
IF(E14='Financements emploi'!$A$16,VLOOKUP(G14,'B2'!$A$3:$L$34,4,FALSE),
IF(E14='Financements emploi'!$A$17,VLOOKUP(G14,'B3'!$A$3:$L$34,4,FALSE),0)))))</f>
        <v>0</v>
      </c>
      <c r="I14" s="48"/>
      <c r="J14" s="15">
        <f t="shared" si="3"/>
        <v>0</v>
      </c>
      <c r="K14" s="107">
        <f t="shared" si="4"/>
        <v>0</v>
      </c>
      <c r="L14" s="107">
        <f>IF(E14='Financements emploi'!$A$13,VLOOKUP(G14,'E3'!$A$3:$L$34,6,FALSE),
IF(E14='Financements emploi'!$A$14,VLOOKUP(G14,'D2'!$A$3:$L$34,6,FALSE),
IF(E14='Financements emploi'!$A$15,VLOOKUP(G14,'B1'!$A$3:$L$34,6,FALSE),
IF(E14='Financements emploi'!$A$16,VLOOKUP(G14,'B2'!$A$3:$L$34,6,FALSE),
IF(E14='Financements emploi'!$A$17,VLOOKUP(G14,'B3'!$A$3:$L$34,6,FALSE),0)))))
*I14</f>
        <v>0</v>
      </c>
      <c r="M14" s="107">
        <f t="shared" si="0"/>
        <v>0</v>
      </c>
      <c r="N14" s="15">
        <f>IF(E14='Financements emploi'!$A$13,VLOOKUP(G14,'E3'!$A$3:$L$34,5,FALSE),
IF(E14='Financements emploi'!$A$14,VLOOKUP(G14,'D2'!$A$3:$L$34,5,FALSE),
IF(E14='Financements emploi'!$A$15,VLOOKUP(G14,'B1'!$A$3:$L$34,5,FALSE),
IF(E14='Financements emploi'!$A$16,VLOOKUP(G14,'B2'!$A$3:$L$34,5,FALSE),
IF(E14='Financements emploi'!$A$17,VLOOKUP(G14,'B3'!$A$3:$L$34,5,FALSE),0)))))
*I14</f>
        <v>0</v>
      </c>
      <c r="O14" s="15">
        <f>IF(E14='Financements emploi'!$A$13,VLOOKUP(G14,'E3'!$A$3:$L$34,7,FALSE),
IF(E14='Financements emploi'!$A$14,VLOOKUP(G14,'D2'!$A$3:$L$34,7,FALSE),
IF(E14='Financements emploi'!$A$15,VLOOKUP(G14,'B1'!$A$3:$L$34,7,FALSE),
IF(E14='Financements emploi'!$A$16,VLOOKUP(G14,'B2'!$A$3:$L$34,7,FALSE),
IF(E14='Financements emploi'!$A$17,VLOOKUP(G14,'B3'!$A$3:$L$34,7,FALSE),0)))))
*I14</f>
        <v>0</v>
      </c>
      <c r="P14" s="15">
        <f t="shared" si="1"/>
        <v>0</v>
      </c>
      <c r="Q14" s="15">
        <f>IF(A14&lt;&gt;0,$Q$10,0)</f>
        <v>0</v>
      </c>
      <c r="R14" s="109"/>
      <c r="S14" s="109"/>
      <c r="T14" s="107">
        <f t="shared" si="5"/>
        <v>0</v>
      </c>
      <c r="U14" s="107"/>
      <c r="V14" s="125"/>
      <c r="W14" s="107">
        <f t="shared" si="6"/>
        <v>0</v>
      </c>
      <c r="X14" s="15">
        <f t="shared" si="2"/>
        <v>0</v>
      </c>
      <c r="Y14" s="61"/>
    </row>
    <row r="15" spans="1:25" s="13" customFormat="1" ht="12.75" x14ac:dyDescent="0.2">
      <c r="A15" s="32" t="s">
        <v>130</v>
      </c>
      <c r="B15" s="32" t="s">
        <v>157</v>
      </c>
      <c r="C15" s="48" t="s">
        <v>245</v>
      </c>
      <c r="D15" s="48" t="s">
        <v>158</v>
      </c>
      <c r="E15" s="48" t="s">
        <v>288</v>
      </c>
      <c r="F15" s="149" t="s">
        <v>159</v>
      </c>
      <c r="G15" s="48">
        <v>5</v>
      </c>
      <c r="H15" s="45">
        <f>IF(E15='Financements emploi'!$A$13,VLOOKUP(G15,'E3'!$A$3:$L$34,4,FALSE),
IF(E15='Financements emploi'!$A$14,VLOOKUP(G15,'D2'!$A$3:$L$34,4,FALSE),
IF(E15='Financements emploi'!$A$15,VLOOKUP(G15,'B1'!$A$3:$L$34,4,FALSE),
IF(E15='Financements emploi'!$A$16,VLOOKUP(G15,'B2'!$A$3:$L$34,4,FALSE),
IF(E15='Financements emploi'!$A$17,VLOOKUP(G15,'B3'!$A$3:$L$34,4,FALSE),0)))))</f>
        <v>3370.7103609999995</v>
      </c>
      <c r="I15" s="138">
        <f>(1/18)*2</f>
        <v>0.1111111111111111</v>
      </c>
      <c r="J15" s="15">
        <f t="shared" si="3"/>
        <v>374.52337344444436</v>
      </c>
      <c r="K15" s="107">
        <f t="shared" si="4"/>
        <v>4494.2804813333323</v>
      </c>
      <c r="L15" s="107">
        <f>IF(E15='Financements emploi'!$A$13,VLOOKUP(G15,'E3'!$A$3:$L$34,6,FALSE),
IF(E15='Financements emploi'!$A$14,VLOOKUP(G15,'D2'!$A$3:$L$34,6,FALSE),
IF(E15='Financements emploi'!$A$15,VLOOKUP(G15,'B1'!$A$3:$L$34,6,FALSE),
IF(E15='Financements emploi'!$A$16,VLOOKUP(G15,'B2'!$A$3:$L$34,6,FALSE),
IF(E15='Financements emploi'!$A$17,VLOOKUP(G15,'B3'!$A$3:$L$34,6,FALSE),0)))))
*I15</f>
        <v>344.56150356888884</v>
      </c>
      <c r="M15" s="107">
        <f t="shared" si="0"/>
        <v>0</v>
      </c>
      <c r="N15" s="15">
        <f>IF(E15='Financements emploi'!$A$13,VLOOKUP(G15,'E3'!$A$3:$L$34,5,FALSE),
IF(E15='Financements emploi'!$A$14,VLOOKUP(G15,'D2'!$A$3:$L$34,5,FALSE),
IF(E15='Financements emploi'!$A$15,VLOOKUP(G15,'B1'!$A$3:$L$34,5,FALSE),
IF(E15='Financements emploi'!$A$16,VLOOKUP(G15,'B2'!$A$3:$L$34,5,FALSE),
IF(E15='Financements emploi'!$A$17,VLOOKUP(G15,'B3'!$A$3:$L$34,5,FALSE),0)))))
*I15</f>
        <v>210.88701203333332</v>
      </c>
      <c r="O15" s="15">
        <f>IF(E15='Financements emploi'!$A$13,VLOOKUP(G15,'E3'!$A$3:$L$34,7,FALSE),
IF(E15='Financements emploi'!$A$14,VLOOKUP(G15,'D2'!$A$3:$L$34,7,FALSE),
IF(E15='Financements emploi'!$A$15,VLOOKUP(G15,'B1'!$A$3:$L$34,7,FALSE),
IF(E15='Financements emploi'!$A$16,VLOOKUP(G15,'B2'!$A$3:$L$34,7,FALSE),
IF(E15='Financements emploi'!$A$17,VLOOKUP(G15,'B3'!$A$3:$L$34,7,FALSE),0)))))
*I15</f>
        <v>1358.3818553349565</v>
      </c>
      <c r="P15" s="15">
        <f t="shared" si="1"/>
        <v>85.845392947904429</v>
      </c>
      <c r="Q15" s="15">
        <f>IF(A15&lt;&gt;0,$Q$10,0)*I15</f>
        <v>10.638888888888888</v>
      </c>
      <c r="R15" s="109"/>
      <c r="S15" s="109">
        <v>0.5</v>
      </c>
      <c r="T15" s="107">
        <f t="shared" si="5"/>
        <v>0</v>
      </c>
      <c r="U15" s="107"/>
      <c r="V15" s="125"/>
      <c r="W15" s="107">
        <f t="shared" si="6"/>
        <v>6504.5951341073041</v>
      </c>
      <c r="X15" s="15">
        <f t="shared" si="2"/>
        <v>0</v>
      </c>
      <c r="Y15" s="61"/>
    </row>
    <row r="16" spans="1:25" x14ac:dyDescent="0.25">
      <c r="A16" s="32" t="s">
        <v>133</v>
      </c>
      <c r="B16" s="32" t="s">
        <v>163</v>
      </c>
      <c r="C16" s="48" t="s">
        <v>158</v>
      </c>
      <c r="D16" s="48"/>
      <c r="E16" s="48"/>
      <c r="F16" s="149" t="s">
        <v>160</v>
      </c>
      <c r="G16" s="48">
        <v>0</v>
      </c>
      <c r="H16" s="45">
        <f>IF(E16='Financements emploi'!$A$13,VLOOKUP(G16,'E3'!$A$3:$L$34,4,FALSE),
IF(E16='Financements emploi'!$A$14,VLOOKUP(G16,'D2'!$A$3:$L$34,4,FALSE),
IF(E16='Financements emploi'!$A$15,VLOOKUP(G16,'B1'!$A$3:$L$34,4,FALSE),
IF(E16='Financements emploi'!$A$16,VLOOKUP(G16,'B2'!$A$3:$L$34,4,FALSE),
IF(E16='Financements emploi'!$A$17,VLOOKUP(G16,'B3'!$A$3:$L$34,4,FALSE),0)))))</f>
        <v>0</v>
      </c>
      <c r="I16" s="138">
        <v>0.2</v>
      </c>
      <c r="J16" s="15">
        <f t="shared" si="3"/>
        <v>0</v>
      </c>
      <c r="K16" s="107">
        <f t="shared" si="4"/>
        <v>0</v>
      </c>
      <c r="L16" s="107">
        <f>IF(E16='Financements emploi'!$A$13,VLOOKUP(G16,'E3'!$A$3:$L$34,6,FALSE),
IF(E16='Financements emploi'!$A$14,VLOOKUP(G16,'D2'!$A$3:$L$34,6,FALSE),
IF(E16='Financements emploi'!$A$15,VLOOKUP(G16,'B1'!$A$3:$L$34,6,FALSE),
IF(E16='Financements emploi'!$A$16,VLOOKUP(G16,'B2'!$A$3:$L$34,6,FALSE),
IF(E16='Financements emploi'!$A$17,VLOOKUP(G16,'B3'!$A$3:$L$34,6,FALSE),0)))))
*I16</f>
        <v>0</v>
      </c>
      <c r="M16" s="107">
        <f t="shared" si="0"/>
        <v>0</v>
      </c>
      <c r="N16" s="15">
        <f>IF(E16='Financements emploi'!$A$13,VLOOKUP(G16,'E3'!$A$3:$L$34,5,FALSE),
IF(E16='Financements emploi'!$A$14,VLOOKUP(G16,'D2'!$A$3:$L$34,5,FALSE),
IF(E16='Financements emploi'!$A$15,VLOOKUP(G16,'B1'!$A$3:$L$34,5,FALSE),
IF(E16='Financements emploi'!$A$16,VLOOKUP(G16,'B2'!$A$3:$L$34,5,FALSE),
IF(E16='Financements emploi'!$A$17,VLOOKUP(G16,'B3'!$A$3:$L$34,5,FALSE),0)))))
*I16</f>
        <v>0</v>
      </c>
      <c r="O16" s="15">
        <f>IF(E16='Financements emploi'!$A$13,VLOOKUP(G16,'E3'!$A$3:$L$34,7,FALSE),
IF(E16='Financements emploi'!$A$14,VLOOKUP(G16,'D2'!$A$3:$L$34,7,FALSE),
IF(E16='Financements emploi'!$A$15,VLOOKUP(G16,'B1'!$A$3:$L$34,7,FALSE),
IF(E16='Financements emploi'!$A$16,VLOOKUP(G16,'B2'!$A$3:$L$34,7,FALSE),
IF(E16='Financements emploi'!$A$17,VLOOKUP(G16,'B3'!$A$3:$L$34,7,FALSE),0)))))
*I16</f>
        <v>0</v>
      </c>
      <c r="P16" s="15">
        <f t="shared" si="1"/>
        <v>0</v>
      </c>
      <c r="Q16" s="15">
        <f>IF(A16&lt;&gt;0,$Q$10,0)*I16</f>
        <v>19.150000000000002</v>
      </c>
      <c r="R16" s="146"/>
      <c r="S16" s="109">
        <v>1</v>
      </c>
      <c r="T16" s="107">
        <f t="shared" si="5"/>
        <v>0</v>
      </c>
      <c r="U16" s="107"/>
      <c r="V16" s="125"/>
      <c r="W16" s="107">
        <f t="shared" si="6"/>
        <v>19.150000000000002</v>
      </c>
      <c r="X16" s="15">
        <f t="shared" si="2"/>
        <v>0</v>
      </c>
      <c r="Y16" s="61"/>
    </row>
    <row r="17" spans="1:25" s="13" customFormat="1" ht="12.75" x14ac:dyDescent="0.2">
      <c r="A17" s="32"/>
      <c r="B17" s="32"/>
      <c r="C17" s="48"/>
      <c r="D17" s="48"/>
      <c r="E17" s="48"/>
      <c r="F17" s="149"/>
      <c r="G17" s="48"/>
      <c r="H17" s="45">
        <f>IF(E17='Financements emploi'!$A$13,VLOOKUP(G17,'E3'!$A$3:$L$34,4,FALSE),
IF(E17='Financements emploi'!$A$14,VLOOKUP(G17,'D2'!$A$3:$L$34,4,FALSE),
IF(E17='Financements emploi'!$A$15,VLOOKUP(G17,'B1'!$A$3:$L$34,4,FALSE),
IF(E17='Financements emploi'!$A$16,VLOOKUP(G17,'B2'!$A$3:$L$34,4,FALSE),
IF(E17='Financements emploi'!$A$17,VLOOKUP(G17,'B3'!$A$3:$L$34,4,FALSE),0)))))</f>
        <v>0</v>
      </c>
      <c r="I17" s="48"/>
      <c r="J17" s="15">
        <f t="shared" si="3"/>
        <v>0</v>
      </c>
      <c r="K17" s="107">
        <f t="shared" si="4"/>
        <v>0</v>
      </c>
      <c r="L17" s="107">
        <f>IF(E17='Financements emploi'!$A$13,VLOOKUP(G17,'E3'!$A$3:$L$34,6,FALSE),
IF(E17='Financements emploi'!$A$14,VLOOKUP(G17,'D2'!$A$3:$L$34,6,FALSE),
IF(E17='Financements emploi'!$A$15,VLOOKUP(G17,'B1'!$A$3:$L$34,6,FALSE),
IF(E17='Financements emploi'!$A$16,VLOOKUP(G17,'B2'!$A$3:$L$34,6,FALSE),
IF(E17='Financements emploi'!$A$17,VLOOKUP(G17,'B3'!$A$3:$L$34,6,FALSE),0)))))
*I17</f>
        <v>0</v>
      </c>
      <c r="M17" s="107">
        <f t="shared" si="0"/>
        <v>0</v>
      </c>
      <c r="N17" s="15">
        <f>IF(E17='Financements emploi'!$A$13,VLOOKUP(G17,'E3'!$A$3:$L$34,5,FALSE),
IF(E17='Financements emploi'!$A$14,VLOOKUP(G17,'D2'!$A$3:$L$34,5,FALSE),
IF(E17='Financements emploi'!$A$15,VLOOKUP(G17,'B1'!$A$3:$L$34,5,FALSE),
IF(E17='Financements emploi'!$A$16,VLOOKUP(G17,'B2'!$A$3:$L$34,5,FALSE),
IF(E17='Financements emploi'!$A$17,VLOOKUP(G17,'B3'!$A$3:$L$34,5,FALSE),0)))))
*I17</f>
        <v>0</v>
      </c>
      <c r="O17" s="15">
        <f>IF(E17='Financements emploi'!$A$13,VLOOKUP(G17,'E3'!$A$3:$L$34,7,FALSE),
IF(E17='Financements emploi'!$A$14,VLOOKUP(G17,'D2'!$A$3:$L$34,7,FALSE),
IF(E17='Financements emploi'!$A$15,VLOOKUP(G17,'B1'!$A$3:$L$34,7,FALSE),
IF(E17='Financements emploi'!$A$16,VLOOKUP(G17,'B2'!$A$3:$L$34,7,FALSE),
IF(E17='Financements emploi'!$A$17,VLOOKUP(G17,'B3'!$A$3:$L$34,7,FALSE),0)))))
*I17</f>
        <v>0</v>
      </c>
      <c r="P17" s="15">
        <f t="shared" si="1"/>
        <v>0</v>
      </c>
      <c r="Q17" s="15">
        <f>IF(A17&lt;&gt;0,$Q$10,0)</f>
        <v>0</v>
      </c>
      <c r="R17" s="109"/>
      <c r="S17" s="109"/>
      <c r="T17" s="107">
        <f t="shared" si="5"/>
        <v>0</v>
      </c>
      <c r="U17" s="107"/>
      <c r="V17" s="125"/>
      <c r="W17" s="107">
        <f t="shared" si="6"/>
        <v>0</v>
      </c>
      <c r="X17" s="15">
        <f t="shared" si="2"/>
        <v>0</v>
      </c>
      <c r="Y17" s="61"/>
    </row>
    <row r="18" spans="1:25" s="13" customFormat="1" ht="12.75" x14ac:dyDescent="0.2">
      <c r="A18" s="16" t="s">
        <v>125</v>
      </c>
      <c r="B18" s="16"/>
      <c r="C18" s="16"/>
      <c r="D18" s="16"/>
      <c r="E18" s="16"/>
      <c r="F18" s="16"/>
      <c r="G18" s="17"/>
      <c r="H18" s="17"/>
      <c r="I18" s="139">
        <f>SUM(I12:I17)</f>
        <v>2.3111111111111113</v>
      </c>
      <c r="J18" s="17">
        <f t="shared" ref="J18:Q18" si="7">SUM(J12:J17)</f>
        <v>5294.604081194444</v>
      </c>
      <c r="K18" s="17">
        <f t="shared" si="7"/>
        <v>63535.248974333328</v>
      </c>
      <c r="L18" s="110">
        <f t="shared" si="7"/>
        <v>4871.035754698888</v>
      </c>
      <c r="M18" s="110">
        <f t="shared" si="7"/>
        <v>0</v>
      </c>
      <c r="N18" s="17">
        <f t="shared" si="7"/>
        <v>3460.4512243583331</v>
      </c>
      <c r="O18" s="17">
        <f t="shared" si="7"/>
        <v>19341.658647362281</v>
      </c>
      <c r="P18" s="17">
        <f t="shared" si="7"/>
        <v>1221.7345112076393</v>
      </c>
      <c r="Q18" s="17">
        <f t="shared" si="7"/>
        <v>221.28888888888889</v>
      </c>
      <c r="R18" s="17"/>
      <c r="S18" s="17"/>
      <c r="T18" s="110">
        <f>SUM(T12:T17)</f>
        <v>336</v>
      </c>
      <c r="U18" s="110"/>
      <c r="V18" s="17">
        <f>SUM(V12:V17)</f>
        <v>0</v>
      </c>
      <c r="W18" s="110">
        <f>SUM(W12:W17)</f>
        <v>92987.418000849371</v>
      </c>
      <c r="X18" s="17">
        <f>SUM(X12:X17)</f>
        <v>10745.456265725999</v>
      </c>
    </row>
    <row r="19" spans="1:25" ht="7.7" customHeight="1" x14ac:dyDescent="0.25"/>
    <row r="20" spans="1:25" ht="32.450000000000003" customHeight="1" x14ac:dyDescent="0.25">
      <c r="A20" s="191" t="s">
        <v>162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1:25" ht="14.45" customHeight="1" x14ac:dyDescent="0.25">
      <c r="A21" s="191" t="s">
        <v>211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53" t="s">
        <v>163</v>
      </c>
      <c r="W21" s="53" t="s">
        <v>157</v>
      </c>
    </row>
    <row r="22" spans="1:25" x14ac:dyDescent="0.25">
      <c r="A22" s="191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68">
        <v>0.1027</v>
      </c>
      <c r="W22" s="68">
        <v>0.182</v>
      </c>
    </row>
    <row r="23" spans="1:25" x14ac:dyDescent="0.25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65">
        <v>1.08</v>
      </c>
      <c r="W23" s="65"/>
    </row>
    <row r="24" spans="1:25" ht="54" customHeight="1" x14ac:dyDescent="0.25">
      <c r="A24" s="191" t="s">
        <v>255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68">
        <v>0.15379999999999999</v>
      </c>
      <c r="W24" s="68">
        <v>0.92</v>
      </c>
    </row>
    <row r="25" spans="1:25" ht="27" customHeight="1" x14ac:dyDescent="0.25">
      <c r="A25" s="31" t="s">
        <v>256</v>
      </c>
    </row>
  </sheetData>
  <mergeCells count="10">
    <mergeCell ref="A1:W1"/>
    <mergeCell ref="A21:U23"/>
    <mergeCell ref="A6:A8"/>
    <mergeCell ref="A20:U20"/>
    <mergeCell ref="A24:U24"/>
    <mergeCell ref="R10:T10"/>
    <mergeCell ref="A4:A5"/>
    <mergeCell ref="B10:C10"/>
    <mergeCell ref="F6:H6"/>
    <mergeCell ref="G7:H7"/>
  </mergeCells>
  <dataValidations count="3">
    <dataValidation type="whole" allowBlank="1" showInputMessage="1" showErrorMessage="1" sqref="G12:G17" xr:uid="{00000000-0002-0000-0400-000000000000}">
      <formula1>0</formula1>
      <formula2>40</formula2>
    </dataValidation>
    <dataValidation type="list" allowBlank="1" showInputMessage="1" showErrorMessage="1" sqref="A12:A17" xr:uid="{00000000-0002-0000-0400-000001000000}">
      <formula1>$B$4:$B$8</formula1>
    </dataValidation>
    <dataValidation type="list" allowBlank="1" showInputMessage="1" showErrorMessage="1" sqref="B12:B17" xr:uid="{00000000-0002-0000-0400-000002000000}">
      <formula1>$V$21:$W$21</formula1>
    </dataValidation>
  </dataValidations>
  <pageMargins left="0.51181102362204722" right="0.51181102362204722" top="0.74803149606299213" bottom="0.74803149606299213" header="0.31496062992125984" footer="0.31496062992125984"/>
  <pageSetup paperSize="9" scale="48" fitToHeight="0" orientation="landscape" r:id="rId1"/>
  <headerFooter>
    <oddHeader>&amp;C&amp;"-,Gras"Plan financier co-accueil lieu tiers</oddHeader>
    <oddFooter>&amp;C&amp;A&amp;R&amp;P/&amp;N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11438362-25FA-41B8-B22F-A28C21B0635D}">
            <xm:f>NOT(ISERROR(SEARCH(#REF!,A12)))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A12:E17</xm:sqref>
        </x14:conditionalFormatting>
        <x14:conditionalFormatting xmlns:xm="http://schemas.microsoft.com/office/excel/2006/main">
          <x14:cfRule type="containsText" priority="5" operator="containsText" id="{6B5D6584-B5E6-4781-8F76-75E51466A1BC}">
            <xm:f>NOT(ISERROR(SEARCH($B$5,A12)))</xm:f>
            <xm:f>$B$5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5204BF22-BCCB-44B4-826C-86B31D0D8A3E}">
            <xm:f>NOT(ISERROR(SEARCH('Normes encadrement'!$B$2,A12)))</xm:f>
            <xm:f>'Normes encadrement'!$B$2</xm:f>
            <x14:dxf>
              <fill>
                <patternFill>
                  <bgColor theme="9" tint="0.79998168889431442"/>
                </patternFill>
              </fill>
            </x14:dxf>
          </x14:cfRule>
          <xm:sqref>A12:F17</xm:sqref>
        </x14:conditionalFormatting>
        <x14:conditionalFormatting xmlns:xm="http://schemas.microsoft.com/office/excel/2006/main">
          <x14:cfRule type="containsText" priority="3" operator="containsText" id="{7BC8F4A9-37A6-4B27-80AC-AD328FCA9A73}">
            <xm:f>NOT(ISERROR(SEARCH(OR('Financements emploi'!$A$6,'Financements emploi'!$A$7),G12)))</xm:f>
            <xm:f>OR('Financements emploi'!$A$6,'Financements emploi'!$A$7)</xm:f>
            <x14:dxf>
              <fill>
                <patternFill patternType="lightUp">
                  <fgColor theme="0" tint="-0.24994659260841701"/>
                  <bgColor auto="1"/>
                </patternFill>
              </fill>
            </x14:dxf>
          </x14:cfRule>
          <xm:sqref>G12:I12 K12:V17 X12:X17 H13:H17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3000000}">
          <x14:formula1>
            <xm:f>'Financements emploi'!$A$3:$A$8</xm:f>
          </x14:formula1>
          <xm:sqref>F12:F17</xm:sqref>
        </x14:dataValidation>
        <x14:dataValidation type="list" allowBlank="1" showInputMessage="1" showErrorMessage="1" xr:uid="{393C77D1-DC01-4781-9583-272D81F315D2}">
          <x14:formula1>
            <xm:f>'Financements emploi'!$A$10:$A$11</xm:f>
          </x14:formula1>
          <xm:sqref>D12:D17</xm:sqref>
        </x14:dataValidation>
        <x14:dataValidation type="list" allowBlank="1" showInputMessage="1" showErrorMessage="1" xr:uid="{E97216B9-76FF-4663-8643-D42A3D534172}">
          <x14:formula1>
            <xm:f>'Financements emploi'!$A$13:$A$17</xm:f>
          </x14:formula1>
          <xm:sqref>E12:E17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C46"/>
  <sheetViews>
    <sheetView topLeftCell="A3" workbookViewId="0">
      <selection activeCell="C7" sqref="C7"/>
    </sheetView>
  </sheetViews>
  <sheetFormatPr baseColWidth="10" defaultColWidth="11.42578125" defaultRowHeight="15" x14ac:dyDescent="0.25"/>
  <cols>
    <col min="1" max="1" width="53.85546875" customWidth="1"/>
    <col min="2" max="2" width="14.140625" customWidth="1"/>
    <col min="3" max="3" width="39.5703125" style="19" bestFit="1" customWidth="1"/>
  </cols>
  <sheetData>
    <row r="1" spans="1:3" ht="27.6" customHeight="1" x14ac:dyDescent="0.25">
      <c r="A1" s="182" t="s">
        <v>164</v>
      </c>
      <c r="B1" s="185"/>
      <c r="C1" s="183"/>
    </row>
    <row r="3" spans="1:3" ht="30" x14ac:dyDescent="0.25">
      <c r="A3" s="6" t="s">
        <v>250</v>
      </c>
      <c r="B3" s="7">
        <v>0</v>
      </c>
      <c r="C3" s="175" t="s">
        <v>302</v>
      </c>
    </row>
    <row r="4" spans="1:3" s="12" customFormat="1" ht="12.75" x14ac:dyDescent="0.2">
      <c r="C4" s="13"/>
    </row>
    <row r="5" spans="1:3" s="12" customFormat="1" x14ac:dyDescent="0.2">
      <c r="A5" s="6" t="s">
        <v>166</v>
      </c>
      <c r="B5" s="7">
        <f>'Financement emploi ONE'!B18</f>
        <v>102441.89333333333</v>
      </c>
      <c r="C5" s="13"/>
    </row>
    <row r="6" spans="1:3" s="12" customFormat="1" ht="12.75" x14ac:dyDescent="0.2">
      <c r="C6" s="13"/>
    </row>
    <row r="7" spans="1:3" s="12" customFormat="1" x14ac:dyDescent="0.2">
      <c r="A7" s="6" t="s">
        <v>167</v>
      </c>
      <c r="B7" s="7"/>
      <c r="C7" s="13"/>
    </row>
    <row r="8" spans="1:3" s="12" customFormat="1" ht="12.75" x14ac:dyDescent="0.2">
      <c r="C8" s="13"/>
    </row>
    <row r="9" spans="1:3" s="12" customFormat="1" x14ac:dyDescent="0.2">
      <c r="A9" s="6" t="s">
        <v>168</v>
      </c>
      <c r="B9" s="7"/>
      <c r="C9" s="13"/>
    </row>
    <row r="10" spans="1:3" s="12" customFormat="1" ht="12.75" x14ac:dyDescent="0.2">
      <c r="C10" s="13"/>
    </row>
    <row r="11" spans="1:3" s="12" customFormat="1" ht="29.65" customHeight="1" x14ac:dyDescent="0.2">
      <c r="A11" s="6" t="s">
        <v>298</v>
      </c>
      <c r="B11" s="7">
        <f>B13+B12+B18+B21+B26+B27+B28</f>
        <v>11360</v>
      </c>
      <c r="C11" s="13" t="s">
        <v>268</v>
      </c>
    </row>
    <row r="12" spans="1:3" s="12" customFormat="1" x14ac:dyDescent="0.25">
      <c r="A12" s="155" t="s">
        <v>266</v>
      </c>
      <c r="B12" s="156">
        <v>1200</v>
      </c>
      <c r="C12" s="13"/>
    </row>
    <row r="13" spans="1:3" s="12" customFormat="1" x14ac:dyDescent="0.2">
      <c r="A13" s="2" t="s">
        <v>264</v>
      </c>
      <c r="B13" s="153">
        <f>B14*B15*B16*B17</f>
        <v>1728</v>
      </c>
      <c r="C13" s="13"/>
    </row>
    <row r="14" spans="1:3" s="12" customFormat="1" ht="12.75" x14ac:dyDescent="0.2">
      <c r="A14" s="154" t="s">
        <v>170</v>
      </c>
      <c r="B14" s="85">
        <v>1.5</v>
      </c>
      <c r="C14" s="13"/>
    </row>
    <row r="15" spans="1:3" s="12" customFormat="1" ht="12.75" x14ac:dyDescent="0.2">
      <c r="A15" s="154" t="s">
        <v>246</v>
      </c>
      <c r="B15" s="115">
        <f>Signalétique!B10</f>
        <v>8</v>
      </c>
      <c r="C15" s="13"/>
    </row>
    <row r="16" spans="1:3" s="12" customFormat="1" ht="25.5" x14ac:dyDescent="0.2">
      <c r="A16" s="154" t="s">
        <v>261</v>
      </c>
      <c r="B16" s="115">
        <f>4*45</f>
        <v>180</v>
      </c>
      <c r="C16" s="13" t="s">
        <v>262</v>
      </c>
    </row>
    <row r="17" spans="1:3" s="12" customFormat="1" ht="12.75" x14ac:dyDescent="0.2">
      <c r="A17" s="154" t="s">
        <v>263</v>
      </c>
      <c r="B17" s="152">
        <v>0.8</v>
      </c>
      <c r="C17" s="13"/>
    </row>
    <row r="18" spans="1:3" s="12" customFormat="1" x14ac:dyDescent="0.25">
      <c r="A18" s="55" t="s">
        <v>265</v>
      </c>
      <c r="B18" s="157">
        <f>B19*B20</f>
        <v>8000</v>
      </c>
      <c r="C18" s="13"/>
    </row>
    <row r="19" spans="1:3" s="12" customFormat="1" ht="12.75" x14ac:dyDescent="0.2">
      <c r="A19" s="154" t="s">
        <v>171</v>
      </c>
      <c r="B19" s="85">
        <v>1000</v>
      </c>
      <c r="C19" s="13"/>
    </row>
    <row r="20" spans="1:3" s="12" customFormat="1" ht="12.75" x14ac:dyDescent="0.2">
      <c r="A20" s="154" t="s">
        <v>246</v>
      </c>
      <c r="B20" s="115">
        <f>Signalétique!B10</f>
        <v>8</v>
      </c>
      <c r="C20" s="13"/>
    </row>
    <row r="21" spans="1:3" s="12" customFormat="1" x14ac:dyDescent="0.25">
      <c r="A21" s="55" t="s">
        <v>267</v>
      </c>
      <c r="B21" s="157">
        <f>B22*B23*B24*B25</f>
        <v>432</v>
      </c>
      <c r="C21" s="13"/>
    </row>
    <row r="22" spans="1:3" s="12" customFormat="1" ht="12.75" x14ac:dyDescent="0.2">
      <c r="A22" s="154" t="s">
        <v>172</v>
      </c>
      <c r="B22" s="85">
        <v>0.5</v>
      </c>
      <c r="C22" s="13"/>
    </row>
    <row r="23" spans="1:3" s="12" customFormat="1" ht="12.75" x14ac:dyDescent="0.2">
      <c r="A23" s="154" t="s">
        <v>246</v>
      </c>
      <c r="B23" s="115">
        <f>Signalétique!B10</f>
        <v>8</v>
      </c>
      <c r="C23" s="13"/>
    </row>
    <row r="24" spans="1:3" s="12" customFormat="1" ht="25.5" x14ac:dyDescent="0.2">
      <c r="A24" s="154" t="s">
        <v>261</v>
      </c>
      <c r="B24" s="115">
        <f>4*45</f>
        <v>180</v>
      </c>
      <c r="C24" s="13" t="s">
        <v>262</v>
      </c>
    </row>
    <row r="25" spans="1:3" s="12" customFormat="1" ht="12.75" x14ac:dyDescent="0.2">
      <c r="A25" s="154" t="s">
        <v>173</v>
      </c>
      <c r="B25" s="151">
        <v>0.6</v>
      </c>
      <c r="C25" s="13"/>
    </row>
    <row r="26" spans="1:3" s="12" customFormat="1" x14ac:dyDescent="0.25">
      <c r="A26" s="55" t="s">
        <v>269</v>
      </c>
      <c r="B26" s="157"/>
      <c r="C26" s="13"/>
    </row>
    <row r="27" spans="1:3" s="12" customFormat="1" x14ac:dyDescent="0.25">
      <c r="A27" s="55" t="s">
        <v>269</v>
      </c>
      <c r="B27" s="85"/>
      <c r="C27" s="13"/>
    </row>
    <row r="28" spans="1:3" s="12" customFormat="1" x14ac:dyDescent="0.25">
      <c r="A28" s="55" t="s">
        <v>269</v>
      </c>
      <c r="B28" s="85"/>
      <c r="C28" s="13"/>
    </row>
    <row r="29" spans="1:3" s="12" customFormat="1" ht="12.75" x14ac:dyDescent="0.2">
      <c r="C29" s="13"/>
    </row>
    <row r="30" spans="1:3" s="12" customFormat="1" x14ac:dyDescent="0.2">
      <c r="A30" s="6" t="s">
        <v>251</v>
      </c>
      <c r="B30" s="7">
        <f>Emploi!V18</f>
        <v>0</v>
      </c>
      <c r="C30" s="13"/>
    </row>
    <row r="31" spans="1:3" s="12" customFormat="1" ht="12.75" x14ac:dyDescent="0.2">
      <c r="B31" s="117"/>
      <c r="C31" s="13"/>
    </row>
    <row r="32" spans="1:3" s="12" customFormat="1" x14ac:dyDescent="0.2">
      <c r="A32" s="6" t="s">
        <v>174</v>
      </c>
      <c r="B32" s="7"/>
      <c r="C32" s="13"/>
    </row>
    <row r="33" spans="1:3" s="12" customFormat="1" ht="12.75" x14ac:dyDescent="0.2">
      <c r="C33" s="13"/>
    </row>
    <row r="34" spans="1:3" s="12" customFormat="1" x14ac:dyDescent="0.2">
      <c r="A34" s="6" t="s">
        <v>174</v>
      </c>
      <c r="B34" s="7"/>
      <c r="C34" s="13"/>
    </row>
    <row r="35" spans="1:3" s="12" customFormat="1" ht="12.75" x14ac:dyDescent="0.2">
      <c r="C35" s="13"/>
    </row>
    <row r="36" spans="1:3" s="12" customFormat="1" x14ac:dyDescent="0.2">
      <c r="A36" s="6" t="s">
        <v>174</v>
      </c>
      <c r="B36" s="7"/>
      <c r="C36" s="13"/>
    </row>
    <row r="37" spans="1:3" s="12" customFormat="1" ht="12.75" x14ac:dyDescent="0.2">
      <c r="C37" s="13"/>
    </row>
    <row r="38" spans="1:3" s="12" customFormat="1" x14ac:dyDescent="0.2">
      <c r="A38" s="9" t="s">
        <v>125</v>
      </c>
      <c r="B38" s="10">
        <f>B3+B5+B7+B9+B11+B30+B32+B34+B36</f>
        <v>113801.89333333333</v>
      </c>
      <c r="C38" s="13"/>
    </row>
    <row r="39" spans="1:3" s="12" customFormat="1" ht="12.75" x14ac:dyDescent="0.2">
      <c r="C39" s="13"/>
    </row>
    <row r="40" spans="1:3" s="12" customFormat="1" ht="12.75" x14ac:dyDescent="0.2">
      <c r="C40" s="13"/>
    </row>
    <row r="41" spans="1:3" s="12" customFormat="1" ht="12.75" x14ac:dyDescent="0.2">
      <c r="C41" s="13"/>
    </row>
    <row r="42" spans="1:3" s="12" customFormat="1" ht="12.75" x14ac:dyDescent="0.2">
      <c r="C42" s="13"/>
    </row>
    <row r="43" spans="1:3" s="12" customFormat="1" ht="12.75" x14ac:dyDescent="0.2">
      <c r="C43" s="13"/>
    </row>
    <row r="44" spans="1:3" s="12" customFormat="1" ht="12.75" x14ac:dyDescent="0.2">
      <c r="C44" s="13"/>
    </row>
    <row r="45" spans="1:3" s="12" customFormat="1" ht="12.75" x14ac:dyDescent="0.2">
      <c r="C45" s="13"/>
    </row>
    <row r="46" spans="1:3" s="12" customFormat="1" ht="12.75" x14ac:dyDescent="0.2">
      <c r="C46" s="1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18"/>
  <sheetViews>
    <sheetView zoomScale="90" zoomScaleNormal="90" workbookViewId="0">
      <selection activeCell="I4" sqref="I4"/>
    </sheetView>
  </sheetViews>
  <sheetFormatPr baseColWidth="10" defaultColWidth="11.42578125" defaultRowHeight="15" x14ac:dyDescent="0.25"/>
  <cols>
    <col min="1" max="1" width="26" customWidth="1"/>
    <col min="2" max="2" width="12.85546875" bestFit="1" customWidth="1"/>
    <col min="3" max="3" width="6.5703125" customWidth="1"/>
    <col min="4" max="4" width="8.42578125" customWidth="1"/>
    <col min="5" max="5" width="10.85546875" customWidth="1"/>
    <col min="6" max="6" width="12.140625" customWidth="1"/>
    <col min="7" max="7" width="14.5703125" customWidth="1"/>
    <col min="8" max="8" width="12.7109375" customWidth="1"/>
    <col min="9" max="9" width="15.85546875" customWidth="1"/>
    <col min="10" max="10" width="21.140625" customWidth="1"/>
    <col min="12" max="12" width="9.28515625" customWidth="1"/>
  </cols>
  <sheetData>
    <row r="1" spans="1:8" ht="18.75" customHeight="1" x14ac:dyDescent="0.25">
      <c r="A1" s="190" t="s">
        <v>224</v>
      </c>
      <c r="B1" s="190"/>
      <c r="C1" s="190"/>
      <c r="D1" s="190"/>
      <c r="E1" s="190"/>
      <c r="F1" s="190"/>
      <c r="G1" s="190"/>
      <c r="H1" s="190"/>
    </row>
    <row r="2" spans="1:8" ht="5.85" customHeight="1" x14ac:dyDescent="0.25"/>
    <row r="3" spans="1:8" ht="19.7" customHeight="1" x14ac:dyDescent="0.25">
      <c r="A3" s="86" t="s">
        <v>175</v>
      </c>
      <c r="B3" s="87">
        <f>H12</f>
        <v>102344.41333333333</v>
      </c>
    </row>
    <row r="4" spans="1:8" s="126" customFormat="1" ht="39" customHeight="1" x14ac:dyDescent="0.25">
      <c r="A4" s="121" t="s">
        <v>138</v>
      </c>
      <c r="B4" s="121" t="s">
        <v>142</v>
      </c>
      <c r="C4" s="121" t="s">
        <v>129</v>
      </c>
      <c r="D4" s="121" t="s">
        <v>305</v>
      </c>
      <c r="E4" s="121" t="s">
        <v>306</v>
      </c>
      <c r="F4" s="121" t="s">
        <v>226</v>
      </c>
      <c r="G4" s="121" t="s">
        <v>227</v>
      </c>
      <c r="H4" s="131" t="s">
        <v>225</v>
      </c>
    </row>
    <row r="5" spans="1:8" x14ac:dyDescent="0.25">
      <c r="A5" s="96" t="str">
        <f>IF(Emploi!F12="ONE",Emploi!A12,"-")</f>
        <v>Accueil</v>
      </c>
      <c r="B5" s="96">
        <f>IF(Emploi!F12="ONE",Emploi!G12,"-")</f>
        <v>0</v>
      </c>
      <c r="C5" s="140">
        <f>IF(Emploi!F12="ONE",Emploi!I12,0)</f>
        <v>1</v>
      </c>
      <c r="D5" s="178" t="str">
        <f>IF(Emploi!F12="ONE",Emploi!E12,0)</f>
        <v>E3</v>
      </c>
      <c r="E5" s="178" t="str">
        <f>IF(Emploi!F12="ONE",Emploi!D12,0)</f>
        <v>non</v>
      </c>
      <c r="F5" s="15">
        <f>IF(AND(D5='Financements emploi'!$A$13,'Financement emploi ONE'!E5="oui"),VLOOKUP('Financement emploi ONE'!B5,'E3'!$A$3:$L$34,11,FALSE),
IF(AND(D5='Financements emploi'!$A$13,'Financement emploi ONE'!E5="non"),VLOOKUP('Financement emploi ONE'!B5,'E3'!$A$3:$L$34,12,FALSE),
IF(AND(D5='Financements emploi'!$A$14,'Financement emploi ONE'!E5="oui"),VLOOKUP('Financement emploi ONE'!B5,'D2'!$A$3:$L$34,11,FALSE),
IF(AND(D5='Financements emploi'!$A$14,'Financement emploi ONE'!E5="non"),VLOOKUP('Financement emploi ONE'!B5,'D2'!$A$3:$L$34,12,FALSE),
IF(AND(D5='Financements emploi'!$A$15,'Financement emploi ONE'!E5="oui"),VLOOKUP('Financement emploi ONE'!B5,'B1'!$A$3:$L$34,11,FALSE),
IF(AND(D5='Financements emploi'!$A$15,'Financement emploi ONE'!E5="non"),VLOOKUP('Financement emploi ONE'!B5,'B1'!$A$3:$L$34,12,FALSE),
IF(AND(D5='Financements emploi'!$A$16,'Financement emploi ONE'!E5="oui"),VLOOKUP('Financement emploi ONE'!B5,'B2'!$A$3:$L$34,11,FALSE),
IF(AND(D5='Financements emploi'!$A$16,'Financement emploi ONE'!E5="non"),VLOOKUP('Financement emploi ONE'!B5,'B2'!$A$3:$L$34,12,FALSE),
IF(AND(D5='Financements emploi'!$A$17,'Financement emploi ONE'!E5="oui"),VLOOKUP('Financement emploi ONE'!B5,'B3'!$A$3:$L$34,11,FALSE),
IF(AND(D5='Financements emploi'!$A$17,'Financement emploi ONE'!E5="non"),VLOOKUP('Financement emploi ONE'!B5,'B3'!$A$3:$L$34,12,FALSE),0))))))))))</f>
        <v>3990.38</v>
      </c>
      <c r="G5" s="15">
        <f>IF(C5&gt;0,F5*C5,0)</f>
        <v>3990.38</v>
      </c>
      <c r="H5" s="132">
        <f>G5*12</f>
        <v>47884.56</v>
      </c>
    </row>
    <row r="6" spans="1:8" x14ac:dyDescent="0.25">
      <c r="A6" s="96" t="str">
        <f>IF(Emploi!F13="ONE",Emploi!A13,"-")</f>
        <v>Accueil</v>
      </c>
      <c r="B6" s="96">
        <f>IF(Emploi!F13="ONE",Emploi!G13,"-")</f>
        <v>0</v>
      </c>
      <c r="C6" s="140">
        <f>IF(Emploi!F13="ONE",Emploi!I13,0)</f>
        <v>1</v>
      </c>
      <c r="D6" s="178" t="str">
        <f>IF(Emploi!F13="ONE",Emploi!E13,0)</f>
        <v>D2</v>
      </c>
      <c r="E6" s="178" t="str">
        <f>IF(Emploi!F13="ONE",Emploi!D13,0)</f>
        <v>non</v>
      </c>
      <c r="F6" s="15">
        <f>IF(AND(D6='Financements emploi'!$A$13,'Financement emploi ONE'!E6="oui"),VLOOKUP('Financement emploi ONE'!B6,'E3'!$A$3:$L$34,11,FALSE),
IF(AND(D6='Financements emploi'!$A$13,'Financement emploi ONE'!E6="non"),VLOOKUP('Financement emploi ONE'!B6,'E3'!$A$3:$L$34,12,FALSE),
IF(AND(D6='Financements emploi'!$A$14,'Financement emploi ONE'!E6="oui"),VLOOKUP('Financement emploi ONE'!B6,'D2'!$A$3:$L$34,11,FALSE),
IF(AND(D6='Financements emploi'!$A$14,'Financement emploi ONE'!E6="non"),VLOOKUP('Financement emploi ONE'!B6,'D2'!$A$3:$L$34,12,FALSE),
IF(AND(D6='Financements emploi'!$A$15,'Financement emploi ONE'!E6="oui"),VLOOKUP('Financement emploi ONE'!B6,'B1'!$A$3:$L$34,11,FALSE),
IF(AND(D6='Financements emploi'!$A$15,'Financement emploi ONE'!E6="non"),VLOOKUP('Financement emploi ONE'!B6,'B1'!$A$3:$L$34,12,FALSE),
IF(AND(D6='Financements emploi'!$A$16,'Financement emploi ONE'!E6="oui"),VLOOKUP('Financement emploi ONE'!B6,'B2'!$A$3:$L$34,11,FALSE),
IF(AND(D6='Financements emploi'!$A$16,'Financement emploi ONE'!E6="non"),VLOOKUP('Financement emploi ONE'!B6,'B2'!$A$3:$L$34,12,FALSE),
IF(AND(D6='Financements emploi'!$A$17,'Financement emploi ONE'!E6="oui"),VLOOKUP('Financement emploi ONE'!B6,'B3'!$A$3:$L$34,11,FALSE),
IF(AND(D6='Financements emploi'!$A$17,'Financement emploi ONE'!E6="non"),VLOOKUP('Financement emploi ONE'!B6,'B3'!$A$3:$L$34,12,FALSE),0))))))))))</f>
        <v>3990.38</v>
      </c>
      <c r="G6" s="15">
        <f t="shared" ref="G6:G11" si="0">IF(C6&gt;0,F6*C6,0)</f>
        <v>3990.38</v>
      </c>
      <c r="H6" s="132">
        <f>G6*12</f>
        <v>47884.56</v>
      </c>
    </row>
    <row r="7" spans="1:8" x14ac:dyDescent="0.25">
      <c r="A7" s="96" t="str">
        <f>IF(Emploi!F14="ONE",Emploi!A14,"-")</f>
        <v>-</v>
      </c>
      <c r="B7" s="96" t="str">
        <f>IF(Emploi!F14="ONE",Emploi!G14,"-")</f>
        <v>-</v>
      </c>
      <c r="C7" s="140">
        <f>IF(Emploi!F14="ONE",Emploi!I14,0)</f>
        <v>0</v>
      </c>
      <c r="D7" s="178">
        <f>IF(Emploi!F14="ONE",Emploi!E14,0)</f>
        <v>0</v>
      </c>
      <c r="E7" s="178">
        <f>IF(Emploi!F14="ONE",Emploi!D14,0)</f>
        <v>0</v>
      </c>
      <c r="F7" s="15">
        <f>IF(AND(D7='Financements emploi'!$A$13,'Financement emploi ONE'!E7="oui"),VLOOKUP('Financement emploi ONE'!B7,'E3'!$A$3:$L$34,11,FALSE),
IF(AND(D7='Financements emploi'!$A$13,'Financement emploi ONE'!E7="non"),VLOOKUP('Financement emploi ONE'!B7,'E3'!$A$3:$L$34,12,FALSE),
IF(AND(D7='Financements emploi'!$A$14,'Financement emploi ONE'!E7="oui"),VLOOKUP('Financement emploi ONE'!B7,'D2'!$A$3:$L$34,11,FALSE),
IF(AND(D7='Financements emploi'!$A$14,'Financement emploi ONE'!E7="non"),VLOOKUP('Financement emploi ONE'!B7,'D2'!$A$3:$L$34,12,FALSE),
IF(AND(D7='Financements emploi'!$A$15,'Financement emploi ONE'!E7="oui"),VLOOKUP('Financement emploi ONE'!B7,'B1'!$A$3:$L$34,11,FALSE),
IF(AND(D7='Financements emploi'!$A$15,'Financement emploi ONE'!E7="non"),VLOOKUP('Financement emploi ONE'!B7,'B1'!$A$3:$L$34,12,FALSE),
IF(AND(D7='Financements emploi'!$A$16,'Financement emploi ONE'!E7="oui"),VLOOKUP('Financement emploi ONE'!B7,'B2'!$A$3:$L$34,11,FALSE),
IF(AND(D7='Financements emploi'!$A$16,'Financement emploi ONE'!E7="non"),VLOOKUP('Financement emploi ONE'!B7,'B2'!$A$3:$L$34,12,FALSE),
IF(AND(D7='Financements emploi'!$A$17,'Financement emploi ONE'!E7="oui"),VLOOKUP('Financement emploi ONE'!B7,'B3'!$A$3:$L$34,11,FALSE),
IF(AND(D7='Financements emploi'!$A$17,'Financement emploi ONE'!E7="non"),VLOOKUP('Financement emploi ONE'!B7,'B3'!$A$3:$L$34,12,FALSE),0))))))))))</f>
        <v>0</v>
      </c>
      <c r="G7" s="15">
        <f t="shared" si="0"/>
        <v>0</v>
      </c>
      <c r="H7" s="132">
        <f>G7*12</f>
        <v>0</v>
      </c>
    </row>
    <row r="8" spans="1:8" x14ac:dyDescent="0.25">
      <c r="A8" s="96" t="str">
        <f>IF(Emploi!F15="ONE",Emploi!A15,"-")</f>
        <v>Encadrement</v>
      </c>
      <c r="B8" s="96">
        <f>IF(Emploi!F15="ONE",Emploi!G15,"-")</f>
        <v>5</v>
      </c>
      <c r="C8" s="140">
        <f>IF(Emploi!F15="ONE",Emploi!I15,0)</f>
        <v>0.1111111111111111</v>
      </c>
      <c r="D8" s="178" t="str">
        <f>IF(Emploi!F15="ONE",Emploi!E15,0)</f>
        <v>B1</v>
      </c>
      <c r="E8" s="178" t="str">
        <f>IF(Emploi!F15="ONE",Emploi!D15,0)</f>
        <v>oui</v>
      </c>
      <c r="F8" s="15">
        <f>IF(AND(D8='Financements emploi'!$A$13,'Financement emploi ONE'!E8="oui"),VLOOKUP('Financement emploi ONE'!B8,'E3'!$A$3:$L$34,11,FALSE),
IF(AND(D8='Financements emploi'!$A$13,'Financement emploi ONE'!E8="non"),VLOOKUP('Financement emploi ONE'!B8,'E3'!$A$3:$L$34,12,FALSE),
IF(AND(D8='Financements emploi'!$A$14,'Financement emploi ONE'!E8="oui"),VLOOKUP('Financement emploi ONE'!B8,'D2'!$A$3:$L$34,11,FALSE),
IF(AND(D8='Financements emploi'!$A$14,'Financement emploi ONE'!E8="non"),VLOOKUP('Financement emploi ONE'!B8,'D2'!$A$3:$L$34,12,FALSE),
IF(AND(D8='Financements emploi'!$A$15,'Financement emploi ONE'!E8="oui"),VLOOKUP('Financement emploi ONE'!B8,'B1'!$A$3:$L$34,11,FALSE),
IF(AND(D8='Financements emploi'!$A$15,'Financement emploi ONE'!E8="non"),VLOOKUP('Financement emploi ONE'!B8,'B1'!$A$3:$L$34,12,FALSE),
IF(AND(D8='Financements emploi'!$A$16,'Financement emploi ONE'!E8="oui"),VLOOKUP('Financement emploi ONE'!B8,'B2'!$A$3:$L$34,11,FALSE),
IF(AND(D8='Financements emploi'!$A$16,'Financement emploi ONE'!E8="non"),VLOOKUP('Financement emploi ONE'!B8,'B2'!$A$3:$L$34,12,FALSE),
IF(AND(D8='Financements emploi'!$A$17,'Financement emploi ONE'!E8="oui"),VLOOKUP('Financement emploi ONE'!B8,'B3'!$A$3:$L$34,11,FALSE),
IF(AND(D8='Financements emploi'!$A$17,'Financement emploi ONE'!E8="non"),VLOOKUP('Financement emploi ONE'!B8,'B3'!$A$3:$L$34,12,FALSE),0))))))))))</f>
        <v>4931.47</v>
      </c>
      <c r="G8" s="15">
        <f t="shared" ref="G8" si="1">IF(C8&gt;0,F8*C8,0)</f>
        <v>547.94111111111113</v>
      </c>
      <c r="H8" s="132">
        <f>G8*12</f>
        <v>6575.2933333333331</v>
      </c>
    </row>
    <row r="9" spans="1:8" x14ac:dyDescent="0.25">
      <c r="A9" s="96"/>
      <c r="B9" s="96"/>
      <c r="C9" s="140"/>
      <c r="D9" s="140"/>
      <c r="E9" s="177"/>
      <c r="F9" s="15"/>
      <c r="G9" s="15"/>
      <c r="H9" s="133"/>
    </row>
    <row r="10" spans="1:8" x14ac:dyDescent="0.25">
      <c r="A10" s="128" t="s">
        <v>128</v>
      </c>
      <c r="B10" s="96"/>
      <c r="C10" s="141">
        <f>SUMIF(A5:A9,A10,C5:C9)</f>
        <v>2</v>
      </c>
      <c r="D10" s="141"/>
      <c r="E10" s="141"/>
      <c r="F10" s="15">
        <f>IF(Emploi!D19="ONE",IF(A10=$A$10,VLOOKUP(B10,#REF!,6,FALSE),IF(A10=$A$11,VLOOKUP(B10,#REF!,11,FALSE),
IF(A10=#REF!,VLOOKUP(B10,#REF!,16,FALSE),0))),0)</f>
        <v>0</v>
      </c>
      <c r="G10" s="15">
        <f t="shared" si="0"/>
        <v>0</v>
      </c>
      <c r="H10" s="134">
        <f>SUMIF($A$5:$A$9,A10,$H$5:$H$9)</f>
        <v>95769.12</v>
      </c>
    </row>
    <row r="11" spans="1:8" x14ac:dyDescent="0.25">
      <c r="A11" s="127" t="s">
        <v>130</v>
      </c>
      <c r="B11" s="96"/>
      <c r="C11" s="140">
        <f>SUMIF(A5:A9,A11,C5:C9)</f>
        <v>0.1111111111111111</v>
      </c>
      <c r="D11" s="140"/>
      <c r="E11" s="140"/>
      <c r="F11" s="15">
        <f>IF(Emploi!D20="ONE",IF(A11=$A$10,VLOOKUP(B11,#REF!,6,FALSE),IF(A11=$A$11,VLOOKUP(B11,#REF!,11,FALSE),
IF(A11=#REF!,VLOOKUP(B11,#REF!,16,FALSE),0))),0)</f>
        <v>0</v>
      </c>
      <c r="G11" s="15">
        <f t="shared" si="0"/>
        <v>0</v>
      </c>
      <c r="H11" s="134">
        <f>SUMIF($A$5:$A$9,A11,$H$5:$H$9)</f>
        <v>6575.2933333333331</v>
      </c>
    </row>
    <row r="12" spans="1:8" x14ac:dyDescent="0.25">
      <c r="A12" s="129" t="s">
        <v>125</v>
      </c>
      <c r="B12" s="133"/>
      <c r="C12" s="133"/>
      <c r="D12" s="133"/>
      <c r="E12" s="133"/>
      <c r="F12" s="133"/>
      <c r="G12" s="133"/>
      <c r="H12" s="130">
        <f>SUM(H10:H11)</f>
        <v>102344.41333333333</v>
      </c>
    </row>
    <row r="13" spans="1:8" ht="10.35" customHeight="1" x14ac:dyDescent="0.25"/>
    <row r="14" spans="1:8" ht="9" customHeight="1" x14ac:dyDescent="0.25"/>
    <row r="15" spans="1:8" ht="20.100000000000001" customHeight="1" x14ac:dyDescent="0.25">
      <c r="A15" s="6" t="s">
        <v>176</v>
      </c>
      <c r="B15" s="7">
        <f>B16</f>
        <v>97.47999999999999</v>
      </c>
    </row>
    <row r="16" spans="1:8" ht="14.45" customHeight="1" x14ac:dyDescent="0.25">
      <c r="A16" s="113" t="s">
        <v>177</v>
      </c>
      <c r="B16" s="135">
        <f>(SUMIF(Emploi!A12:A17,Emploi!B5,Emploi!I12:I17))*73.11*12</f>
        <v>97.47999999999999</v>
      </c>
      <c r="C16" s="206" t="s">
        <v>259</v>
      </c>
      <c r="D16" s="207"/>
      <c r="E16" s="207"/>
      <c r="F16" s="207"/>
      <c r="G16" s="207"/>
      <c r="H16" s="207"/>
    </row>
    <row r="17" spans="1:8" ht="14.45" customHeight="1" x14ac:dyDescent="0.25">
      <c r="A17" s="180"/>
      <c r="B17" s="181"/>
      <c r="C17" s="173"/>
      <c r="D17" s="173"/>
      <c r="E17" s="173"/>
      <c r="F17" s="173"/>
      <c r="G17" s="173"/>
      <c r="H17" s="173"/>
    </row>
    <row r="18" spans="1:8" x14ac:dyDescent="0.25">
      <c r="A18" s="112" t="s">
        <v>125</v>
      </c>
      <c r="B18" s="111">
        <f>B15+B3</f>
        <v>102441.89333333333</v>
      </c>
    </row>
  </sheetData>
  <mergeCells count="2">
    <mergeCell ref="A1:H1"/>
    <mergeCell ref="C16:H1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A1:F45"/>
  <sheetViews>
    <sheetView topLeftCell="A12" workbookViewId="0">
      <selection activeCell="B27" sqref="B27"/>
    </sheetView>
  </sheetViews>
  <sheetFormatPr baseColWidth="10" defaultColWidth="11.42578125" defaultRowHeight="15" x14ac:dyDescent="0.25"/>
  <cols>
    <col min="1" max="1" width="34.85546875" bestFit="1" customWidth="1"/>
    <col min="2" max="4" width="14.85546875" customWidth="1"/>
  </cols>
  <sheetData>
    <row r="1" spans="1:4" ht="28.35" customHeight="1" x14ac:dyDescent="0.25">
      <c r="A1" s="182" t="s">
        <v>178</v>
      </c>
      <c r="B1" s="185"/>
      <c r="C1" s="185"/>
      <c r="D1" s="183"/>
    </row>
    <row r="2" spans="1:4" x14ac:dyDescent="0.25">
      <c r="A2" s="6" t="s">
        <v>179</v>
      </c>
      <c r="B2" s="20"/>
      <c r="C2" s="20"/>
      <c r="D2" s="21"/>
    </row>
    <row r="3" spans="1:4" s="1" customFormat="1" ht="20.45" customHeight="1" x14ac:dyDescent="0.25">
      <c r="A3" s="23" t="str">
        <f>Signalétique!A2</f>
        <v>Pouvoir Organisateur</v>
      </c>
      <c r="B3" s="209">
        <f>Signalétique!B2</f>
        <v>0</v>
      </c>
      <c r="C3" s="209"/>
      <c r="D3" s="209"/>
    </row>
    <row r="4" spans="1:4" s="1" customFormat="1" ht="20.45" customHeight="1" x14ac:dyDescent="0.25">
      <c r="A4" s="24" t="str">
        <f>Signalétique!A6</f>
        <v>Co-accueil</v>
      </c>
      <c r="B4" s="209">
        <f>Signalétique!B6</f>
        <v>0</v>
      </c>
      <c r="C4" s="209"/>
      <c r="D4" s="209"/>
    </row>
    <row r="5" spans="1:4" s="1" customFormat="1" ht="20.45" customHeight="1" x14ac:dyDescent="0.25">
      <c r="A5" s="24" t="str">
        <f>Signalétique!A7</f>
        <v xml:space="preserve">Adresse </v>
      </c>
      <c r="B5" s="209">
        <f>Signalétique!B7</f>
        <v>0</v>
      </c>
      <c r="C5" s="209"/>
      <c r="D5" s="209"/>
    </row>
    <row r="6" spans="1:4" s="1" customFormat="1" ht="20.45" customHeight="1" x14ac:dyDescent="0.25">
      <c r="A6" s="24" t="str">
        <f>Signalétique!A8</f>
        <v>CP</v>
      </c>
      <c r="B6" s="209">
        <f>Signalétique!B8</f>
        <v>0</v>
      </c>
      <c r="C6" s="209"/>
      <c r="D6" s="209"/>
    </row>
    <row r="7" spans="1:4" s="1" customFormat="1" ht="20.45" customHeight="1" x14ac:dyDescent="0.25">
      <c r="A7" s="24" t="str">
        <f>Signalétique!A9</f>
        <v>Localité</v>
      </c>
      <c r="B7" s="209">
        <f>Signalétique!B9</f>
        <v>0</v>
      </c>
      <c r="C7" s="209"/>
      <c r="D7" s="209"/>
    </row>
    <row r="8" spans="1:4" s="1" customFormat="1" ht="20.45" customHeight="1" x14ac:dyDescent="0.25">
      <c r="A8" s="24" t="str">
        <f>Signalétique!A10</f>
        <v xml:space="preserve">Capacité </v>
      </c>
      <c r="B8" s="209">
        <f>Signalétique!B10</f>
        <v>8</v>
      </c>
      <c r="C8" s="209"/>
      <c r="D8" s="209"/>
    </row>
    <row r="9" spans="1:4" x14ac:dyDescent="0.25">
      <c r="A9" s="12"/>
      <c r="B9" s="12"/>
      <c r="C9" s="12"/>
      <c r="D9" s="12"/>
    </row>
    <row r="10" spans="1:4" x14ac:dyDescent="0.25">
      <c r="A10" s="6" t="s">
        <v>15</v>
      </c>
      <c r="B10" s="20"/>
      <c r="C10" s="20"/>
      <c r="D10" s="60">
        <f>Investissements!B2</f>
        <v>0</v>
      </c>
    </row>
    <row r="12" spans="1:4" x14ac:dyDescent="0.25">
      <c r="A12" s="6" t="s">
        <v>180</v>
      </c>
      <c r="B12" s="20"/>
      <c r="C12" s="20"/>
      <c r="D12" s="34">
        <f>SUM(D14:D15)</f>
        <v>0</v>
      </c>
    </row>
    <row r="13" spans="1:4" ht="25.5" x14ac:dyDescent="0.25">
      <c r="A13" s="12"/>
      <c r="B13" s="25" t="s">
        <v>181</v>
      </c>
      <c r="C13" s="26" t="s">
        <v>182</v>
      </c>
      <c r="D13" s="26" t="s">
        <v>183</v>
      </c>
    </row>
    <row r="14" spans="1:4" x14ac:dyDescent="0.25">
      <c r="A14" s="12" t="s">
        <v>184</v>
      </c>
      <c r="B14" s="27">
        <f>Investissements!B33</f>
        <v>0</v>
      </c>
      <c r="C14" s="33">
        <v>0.2</v>
      </c>
      <c r="D14" s="27">
        <f>B14*C14</f>
        <v>0</v>
      </c>
    </row>
    <row r="15" spans="1:4" x14ac:dyDescent="0.25">
      <c r="A15" s="12" t="s">
        <v>185</v>
      </c>
      <c r="B15" s="27">
        <f>Investissements!B108</f>
        <v>0</v>
      </c>
      <c r="C15" s="33">
        <v>0.33</v>
      </c>
      <c r="D15" s="27">
        <f>B15*C15</f>
        <v>0</v>
      </c>
    </row>
    <row r="16" spans="1:4" x14ac:dyDescent="0.25">
      <c r="A16" s="12"/>
      <c r="B16" s="12" t="s">
        <v>223</v>
      </c>
      <c r="C16" s="12"/>
      <c r="D16" s="12"/>
    </row>
    <row r="17" spans="1:6" x14ac:dyDescent="0.25">
      <c r="A17" s="6" t="s">
        <v>186</v>
      </c>
      <c r="B17" s="20"/>
      <c r="C17" s="20"/>
      <c r="D17" s="34">
        <f>SUM(B18:B21)</f>
        <v>0</v>
      </c>
    </row>
    <row r="18" spans="1:6" x14ac:dyDescent="0.25">
      <c r="A18" s="12" t="s">
        <v>187</v>
      </c>
      <c r="B18" s="27">
        <f>Fonctionnement!B2</f>
        <v>0</v>
      </c>
      <c r="C18" s="12"/>
      <c r="D18" s="12"/>
    </row>
    <row r="19" spans="1:6" x14ac:dyDescent="0.25">
      <c r="A19" s="12" t="s">
        <v>188</v>
      </c>
      <c r="B19" s="27">
        <f>Fonctionnement!B9</f>
        <v>0</v>
      </c>
      <c r="C19" s="12"/>
      <c r="D19" s="12"/>
    </row>
    <row r="20" spans="1:6" x14ac:dyDescent="0.25">
      <c r="A20" s="12" t="s">
        <v>189</v>
      </c>
      <c r="B20" s="27">
        <f>Fonctionnement!B41</f>
        <v>0</v>
      </c>
      <c r="C20" s="12"/>
      <c r="D20" s="12"/>
    </row>
    <row r="21" spans="1:6" x14ac:dyDescent="0.25">
      <c r="A21" s="12" t="s">
        <v>121</v>
      </c>
      <c r="B21" s="27">
        <f>Fonctionnement!B48</f>
        <v>0</v>
      </c>
      <c r="C21" s="12"/>
      <c r="D21" s="12"/>
    </row>
    <row r="22" spans="1:6" x14ac:dyDescent="0.25">
      <c r="A22" s="12"/>
      <c r="B22" s="12"/>
      <c r="C22" s="12"/>
      <c r="D22" s="12"/>
    </row>
    <row r="23" spans="1:6" x14ac:dyDescent="0.25">
      <c r="A23" s="6" t="s">
        <v>190</v>
      </c>
      <c r="B23" s="20"/>
      <c r="C23" s="20"/>
      <c r="D23" s="34">
        <f>SUM(B24:B29)</f>
        <v>103732.87426657537</v>
      </c>
      <c r="F23" s="12"/>
    </row>
    <row r="24" spans="1:6" x14ac:dyDescent="0.25">
      <c r="A24" s="12" t="s">
        <v>128</v>
      </c>
      <c r="B24" s="18">
        <f>SUMIF(Emploi!$A$12:$A$17,Synthèse!A24,Emploi!$W$12:$W$17)</f>
        <v>86463.672866742068</v>
      </c>
      <c r="C24" s="208"/>
      <c r="D24" s="208"/>
      <c r="F24" s="12"/>
    </row>
    <row r="25" spans="1:6" x14ac:dyDescent="0.25">
      <c r="A25" s="12" t="s">
        <v>130</v>
      </c>
      <c r="B25" s="18">
        <f>SUMIF(Emploi!$A$12:$A$17,Synthèse!A25,Emploi!$W$12:$W$17)</f>
        <v>6504.5951341073041</v>
      </c>
      <c r="C25" s="12"/>
      <c r="D25" s="12"/>
    </row>
    <row r="26" spans="1:6" x14ac:dyDescent="0.25">
      <c r="A26" s="12" t="s">
        <v>132</v>
      </c>
      <c r="B26" s="18">
        <f>SUMIF(Emploi!$A$12:$A$17,Synthèse!A26,Emploi!$W$12:$W$17)</f>
        <v>0</v>
      </c>
      <c r="C26" s="12"/>
      <c r="D26" s="12"/>
      <c r="F26" s="12"/>
    </row>
    <row r="27" spans="1:6" x14ac:dyDescent="0.25">
      <c r="A27" s="12" t="s">
        <v>133</v>
      </c>
      <c r="B27" s="18">
        <f>SUMIF(Emploi!$A$12:$A$17,Synthèse!A27,Emploi!$W$12:$W$17)</f>
        <v>19.150000000000002</v>
      </c>
      <c r="C27" s="12"/>
      <c r="D27" s="12"/>
      <c r="F27" s="12"/>
    </row>
    <row r="28" spans="1:6" x14ac:dyDescent="0.25">
      <c r="A28" s="12" t="s">
        <v>134</v>
      </c>
      <c r="B28" s="18">
        <f>SUMIF(Emploi!$A$12:$A$17,Synthèse!A28,Emploi!$W$12:$W$17)</f>
        <v>0</v>
      </c>
      <c r="C28" s="12"/>
      <c r="D28" s="12"/>
    </row>
    <row r="29" spans="1:6" x14ac:dyDescent="0.25">
      <c r="A29" s="80" t="s">
        <v>191</v>
      </c>
      <c r="B29" s="81">
        <f>Emploi!X18</f>
        <v>10745.456265725999</v>
      </c>
      <c r="C29" s="12"/>
      <c r="D29" s="12"/>
    </row>
    <row r="30" spans="1:6" x14ac:dyDescent="0.25">
      <c r="A30" s="12"/>
      <c r="B30" s="27"/>
      <c r="C30" s="12"/>
      <c r="D30" s="12"/>
    </row>
    <row r="31" spans="1:6" x14ac:dyDescent="0.25">
      <c r="A31" s="9" t="s">
        <v>192</v>
      </c>
      <c r="B31" s="22"/>
      <c r="C31" s="22"/>
      <c r="D31" s="35">
        <f>D10+D12+D17+D23</f>
        <v>103732.87426657537</v>
      </c>
      <c r="E31" s="12" t="s">
        <v>228</v>
      </c>
    </row>
    <row r="32" spans="1:6" s="12" customFormat="1" x14ac:dyDescent="0.25">
      <c r="D32" s="35">
        <f>D10+D12+D17+D23-B29</f>
        <v>92987.418000849371</v>
      </c>
      <c r="E32" s="12" t="s">
        <v>229</v>
      </c>
    </row>
    <row r="33" spans="1:5" s="12" customFormat="1" ht="12.75" x14ac:dyDescent="0.2"/>
    <row r="34" spans="1:5" x14ac:dyDescent="0.25">
      <c r="A34" s="6" t="s">
        <v>193</v>
      </c>
      <c r="B34" s="20"/>
      <c r="C34" s="20"/>
      <c r="D34" s="34">
        <f>SUM(B35:B40)</f>
        <v>113801.89333333333</v>
      </c>
    </row>
    <row r="35" spans="1:5" s="12" customFormat="1" ht="12.75" x14ac:dyDescent="0.2">
      <c r="A35" s="12" t="s">
        <v>249</v>
      </c>
      <c r="B35" s="27">
        <f>Recettes!B3</f>
        <v>0</v>
      </c>
      <c r="C35" s="39" t="s">
        <v>194</v>
      </c>
    </row>
    <row r="36" spans="1:5" s="12" customFormat="1" ht="12.75" x14ac:dyDescent="0.2">
      <c r="A36" s="12" t="s">
        <v>166</v>
      </c>
      <c r="B36" s="27">
        <f>'Financement emploi ONE'!B18</f>
        <v>102441.89333333333</v>
      </c>
      <c r="C36" s="39" t="s">
        <v>260</v>
      </c>
    </row>
    <row r="37" spans="1:5" s="12" customFormat="1" ht="12.75" x14ac:dyDescent="0.2">
      <c r="A37" s="12" t="s">
        <v>195</v>
      </c>
      <c r="B37" s="27">
        <f>Emploi!V18</f>
        <v>0</v>
      </c>
      <c r="C37" s="39"/>
    </row>
    <row r="38" spans="1:5" s="12" customFormat="1" ht="12.75" x14ac:dyDescent="0.2">
      <c r="A38" s="12" t="s">
        <v>168</v>
      </c>
      <c r="B38" s="27">
        <f>Recettes!B9</f>
        <v>0</v>
      </c>
      <c r="C38" s="39"/>
    </row>
    <row r="39" spans="1:5" s="12" customFormat="1" ht="12.75" x14ac:dyDescent="0.2">
      <c r="A39" s="12" t="s">
        <v>169</v>
      </c>
      <c r="B39" s="27">
        <f>Recettes!B11</f>
        <v>11360</v>
      </c>
      <c r="C39" s="39"/>
    </row>
    <row r="40" spans="1:5" s="12" customFormat="1" ht="12.75" x14ac:dyDescent="0.2">
      <c r="A40" s="12" t="s">
        <v>196</v>
      </c>
      <c r="B40" s="27">
        <f>Recettes!B32+Recettes!B34+Recettes!B36</f>
        <v>0</v>
      </c>
      <c r="C40" s="39"/>
    </row>
    <row r="41" spans="1:5" s="12" customFormat="1" ht="12.75" x14ac:dyDescent="0.2"/>
    <row r="42" spans="1:5" x14ac:dyDescent="0.25">
      <c r="A42" s="9" t="s">
        <v>197</v>
      </c>
      <c r="B42" s="22"/>
      <c r="C42" s="22"/>
      <c r="D42" s="35">
        <f>D34</f>
        <v>113801.89333333333</v>
      </c>
    </row>
    <row r="43" spans="1:5" s="12" customFormat="1" ht="12.75" x14ac:dyDescent="0.2"/>
    <row r="44" spans="1:5" s="12" customFormat="1" x14ac:dyDescent="0.25">
      <c r="A44" s="62" t="s">
        <v>230</v>
      </c>
      <c r="B44" s="63"/>
      <c r="C44" s="63"/>
      <c r="D44" s="64">
        <f>D42-D31</f>
        <v>10069.019066757959</v>
      </c>
      <c r="E44" s="39" t="s">
        <v>232</v>
      </c>
    </row>
    <row r="45" spans="1:5" s="12" customFormat="1" x14ac:dyDescent="0.25">
      <c r="A45" s="62" t="s">
        <v>231</v>
      </c>
      <c r="B45" s="63"/>
      <c r="C45" s="63"/>
      <c r="D45" s="64">
        <f>D42-D31+B29</f>
        <v>20814.475332483958</v>
      </c>
    </row>
  </sheetData>
  <mergeCells count="8">
    <mergeCell ref="C24:D24"/>
    <mergeCell ref="A1:D1"/>
    <mergeCell ref="B3:D3"/>
    <mergeCell ref="B4:D4"/>
    <mergeCell ref="B7:D7"/>
    <mergeCell ref="B6:D6"/>
    <mergeCell ref="B8:D8"/>
    <mergeCell ref="B5:D5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>&amp;C&amp;"-,Gras"Plan financier co-accueil lieu tiers</oddHeader>
    <oddFooter>&amp;C&amp;A&amp;R&amp;P/&amp;N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752A-4ABF-404A-B72B-FE5EFBDA27F9}">
  <sheetPr>
    <tabColor theme="7" tint="0.79998168889431442"/>
  </sheetPr>
  <dimension ref="A1:L37"/>
  <sheetViews>
    <sheetView workbookViewId="0">
      <selection activeCell="E33" sqref="E33"/>
    </sheetView>
  </sheetViews>
  <sheetFormatPr baseColWidth="10" defaultColWidth="11.42578125" defaultRowHeight="15" x14ac:dyDescent="0.25"/>
  <cols>
    <col min="1" max="1" width="11.42578125" style="167"/>
    <col min="2" max="2" width="13.85546875" style="168" customWidth="1"/>
    <col min="3" max="3" width="15.7109375" style="168" customWidth="1"/>
    <col min="4" max="4" width="15.5703125" style="168" customWidth="1"/>
    <col min="5" max="5" width="11.42578125" style="168"/>
    <col min="6" max="6" width="14.7109375" style="168" bestFit="1" customWidth="1"/>
    <col min="7" max="8" width="14.7109375" style="168" customWidth="1"/>
    <col min="9" max="10" width="17" style="168" bestFit="1" customWidth="1"/>
    <col min="11" max="11" width="14" style="168" customWidth="1"/>
    <col min="12" max="12" width="15.7109375" style="168" customWidth="1"/>
    <col min="13" max="16384" width="11.42578125" style="168"/>
  </cols>
  <sheetData>
    <row r="1" spans="1:12" s="163" customFormat="1" ht="32.25" customHeight="1" x14ac:dyDescent="0.25">
      <c r="A1" s="159" t="s">
        <v>274</v>
      </c>
      <c r="B1" s="160" t="s">
        <v>275</v>
      </c>
      <c r="C1" s="161" t="s">
        <v>276</v>
      </c>
      <c r="D1" s="162">
        <v>2.0398999999999998</v>
      </c>
    </row>
    <row r="2" spans="1:12" s="166" customFormat="1" ht="75" x14ac:dyDescent="0.25">
      <c r="A2" s="164" t="s">
        <v>142</v>
      </c>
      <c r="B2" s="165" t="s">
        <v>277</v>
      </c>
      <c r="C2" s="165" t="s">
        <v>278</v>
      </c>
      <c r="D2" s="165" t="s">
        <v>279</v>
      </c>
      <c r="E2" s="165" t="s">
        <v>148</v>
      </c>
      <c r="F2" s="165" t="s">
        <v>280</v>
      </c>
      <c r="G2" s="165" t="s">
        <v>281</v>
      </c>
      <c r="H2" s="165" t="s">
        <v>282</v>
      </c>
      <c r="I2" s="165" t="s">
        <v>283</v>
      </c>
      <c r="J2" s="165" t="s">
        <v>284</v>
      </c>
      <c r="K2" s="174" t="s">
        <v>300</v>
      </c>
      <c r="L2" s="174" t="s">
        <v>301</v>
      </c>
    </row>
    <row r="3" spans="1:12" x14ac:dyDescent="0.25">
      <c r="A3" s="167">
        <v>0</v>
      </c>
      <c r="B3" s="168">
        <v>13920.71</v>
      </c>
      <c r="C3" s="168">
        <f>B3*$D$1</f>
        <v>28396.856328999995</v>
      </c>
      <c r="D3" s="168">
        <f>C3/12</f>
        <v>2366.4046940833327</v>
      </c>
      <c r="E3" s="168">
        <f>(886.77+(0.025*C3))</f>
        <v>1596.691408225</v>
      </c>
      <c r="F3" s="168">
        <f>(C3/12)*92%</f>
        <v>2177.0923185566662</v>
      </c>
      <c r="G3" s="168">
        <f>(C3+E3)*28.87%</f>
        <v>8659.1372317368568</v>
      </c>
      <c r="H3" s="168">
        <f>C3*15%</f>
        <v>4259.5284493499994</v>
      </c>
      <c r="I3" s="168">
        <f>C3+E3+F3+H3</f>
        <v>36430.16850513166</v>
      </c>
      <c r="J3" s="168">
        <f>G3+I3</f>
        <v>45089.305736868519</v>
      </c>
      <c r="K3" s="168">
        <v>4670.0200000000004</v>
      </c>
      <c r="L3" s="168">
        <v>3990.38</v>
      </c>
    </row>
    <row r="4" spans="1:12" x14ac:dyDescent="0.25">
      <c r="A4" s="167">
        <f>A3+1</f>
        <v>1</v>
      </c>
      <c r="B4" s="168">
        <v>14303.78</v>
      </c>
      <c r="C4" s="168">
        <f t="shared" ref="C4:C28" si="0">B4*$D$1</f>
        <v>29178.280822000001</v>
      </c>
      <c r="D4" s="168">
        <f t="shared" ref="D4:D28" si="1">C4/12</f>
        <v>2431.5234018333335</v>
      </c>
      <c r="E4" s="168">
        <f t="shared" ref="E4:E28" si="2">(886.77+(0.025*C4))</f>
        <v>1616.2270205499999</v>
      </c>
      <c r="F4" s="168">
        <f t="shared" ref="F4:F28" si="3">(C4/12)*92%</f>
        <v>2237.0015296866668</v>
      </c>
      <c r="G4" s="168">
        <f t="shared" ref="G4:G28" si="4">(C4+E4)*28.87%</f>
        <v>8890.3744141441857</v>
      </c>
      <c r="H4" s="168">
        <f t="shared" ref="H4:H28" si="5">C4*15%</f>
        <v>4376.7421232999995</v>
      </c>
      <c r="I4" s="168">
        <f t="shared" ref="I4:I28" si="6">C4+E4+F4+H4</f>
        <v>37408.251495536664</v>
      </c>
      <c r="J4" s="168">
        <f t="shared" ref="J4:J28" si="7">G4+I4</f>
        <v>46298.62590968085</v>
      </c>
      <c r="K4" s="168">
        <v>4995.8500000000004</v>
      </c>
      <c r="L4" s="168">
        <v>4267.6099999999997</v>
      </c>
    </row>
    <row r="5" spans="1:12" x14ac:dyDescent="0.25">
      <c r="A5" s="167">
        <f t="shared" ref="A5:A28" si="8">A4+1</f>
        <v>2</v>
      </c>
      <c r="B5" s="168">
        <v>14686.85</v>
      </c>
      <c r="C5" s="168">
        <f t="shared" si="0"/>
        <v>29959.705314999999</v>
      </c>
      <c r="D5" s="168">
        <f t="shared" si="1"/>
        <v>2496.6421095833334</v>
      </c>
      <c r="E5" s="168">
        <f t="shared" si="2"/>
        <v>1635.762632875</v>
      </c>
      <c r="F5" s="168">
        <f t="shared" si="3"/>
        <v>2296.9107408166669</v>
      </c>
      <c r="G5" s="168">
        <f t="shared" si="4"/>
        <v>9121.6115965515128</v>
      </c>
      <c r="H5" s="168">
        <f t="shared" si="5"/>
        <v>4493.9557972499997</v>
      </c>
      <c r="I5" s="168">
        <f t="shared" si="6"/>
        <v>38386.334485941661</v>
      </c>
      <c r="J5" s="168">
        <f t="shared" si="7"/>
        <v>47507.946082493174</v>
      </c>
      <c r="K5" s="168">
        <v>5040.1099999999997</v>
      </c>
      <c r="L5" s="168">
        <v>4305.26</v>
      </c>
    </row>
    <row r="6" spans="1:12" x14ac:dyDescent="0.25">
      <c r="A6" s="167">
        <f t="shared" si="8"/>
        <v>3</v>
      </c>
      <c r="B6" s="168">
        <v>15069.92</v>
      </c>
      <c r="C6" s="168">
        <f t="shared" si="0"/>
        <v>30741.129807999998</v>
      </c>
      <c r="D6" s="168">
        <f t="shared" si="1"/>
        <v>2561.7608173333333</v>
      </c>
      <c r="E6" s="168">
        <f t="shared" si="2"/>
        <v>1655.2982452000001</v>
      </c>
      <c r="F6" s="168">
        <f t="shared" si="3"/>
        <v>2356.8199519466666</v>
      </c>
      <c r="G6" s="168">
        <f t="shared" si="4"/>
        <v>9352.8487789588398</v>
      </c>
      <c r="H6" s="168">
        <f t="shared" si="5"/>
        <v>4611.1694711999999</v>
      </c>
      <c r="I6" s="168">
        <f t="shared" si="6"/>
        <v>39364.417476346665</v>
      </c>
      <c r="J6" s="168">
        <f t="shared" si="7"/>
        <v>48717.266255305505</v>
      </c>
      <c r="K6" s="168">
        <v>5084.3599999999997</v>
      </c>
      <c r="L6" s="168">
        <v>4342.91</v>
      </c>
    </row>
    <row r="7" spans="1:12" x14ac:dyDescent="0.25">
      <c r="A7" s="167">
        <f t="shared" si="8"/>
        <v>4</v>
      </c>
      <c r="B7" s="168">
        <v>15132.52</v>
      </c>
      <c r="C7" s="168">
        <f t="shared" si="0"/>
        <v>30868.827547999997</v>
      </c>
      <c r="D7" s="168">
        <f t="shared" si="1"/>
        <v>2572.4022956666663</v>
      </c>
      <c r="E7" s="168">
        <f t="shared" si="2"/>
        <v>1658.4906887</v>
      </c>
      <c r="F7" s="168">
        <f t="shared" si="3"/>
        <v>2366.610112013333</v>
      </c>
      <c r="G7" s="168">
        <f t="shared" si="4"/>
        <v>9390.6367749352903</v>
      </c>
      <c r="H7" s="168">
        <f t="shared" si="5"/>
        <v>4630.3241321999994</v>
      </c>
      <c r="I7" s="168">
        <f t="shared" si="6"/>
        <v>39524.252480913332</v>
      </c>
      <c r="J7" s="168">
        <f t="shared" si="7"/>
        <v>48914.889255848626</v>
      </c>
      <c r="K7" s="168">
        <v>5128.62</v>
      </c>
      <c r="L7" s="168">
        <v>4380.5600000000004</v>
      </c>
    </row>
    <row r="8" spans="1:12" x14ac:dyDescent="0.25">
      <c r="A8" s="167">
        <f t="shared" si="8"/>
        <v>5</v>
      </c>
      <c r="B8" s="168">
        <v>15195.12</v>
      </c>
      <c r="C8" s="168">
        <f t="shared" si="0"/>
        <v>30996.525288000001</v>
      </c>
      <c r="D8" s="168">
        <f t="shared" si="1"/>
        <v>2583.0437740000002</v>
      </c>
      <c r="E8" s="168">
        <f t="shared" si="2"/>
        <v>1661.6831322</v>
      </c>
      <c r="F8" s="168">
        <f t="shared" si="3"/>
        <v>2376.4002720800004</v>
      </c>
      <c r="G8" s="168">
        <f t="shared" si="4"/>
        <v>9428.4247709117408</v>
      </c>
      <c r="H8" s="168">
        <f t="shared" si="5"/>
        <v>4649.4787931999999</v>
      </c>
      <c r="I8" s="168">
        <f t="shared" si="6"/>
        <v>39684.087485480006</v>
      </c>
      <c r="J8" s="168">
        <f t="shared" si="7"/>
        <v>49112.512256391747</v>
      </c>
      <c r="K8" s="168">
        <v>5172.88</v>
      </c>
      <c r="L8" s="168">
        <v>4418.2299999999996</v>
      </c>
    </row>
    <row r="9" spans="1:12" x14ac:dyDescent="0.25">
      <c r="A9" s="167">
        <f t="shared" si="8"/>
        <v>6</v>
      </c>
      <c r="B9" s="168">
        <v>15257.72</v>
      </c>
      <c r="C9" s="168">
        <f t="shared" si="0"/>
        <v>31124.223027999997</v>
      </c>
      <c r="D9" s="168">
        <f t="shared" si="1"/>
        <v>2593.6852523333332</v>
      </c>
      <c r="E9" s="168">
        <f t="shared" si="2"/>
        <v>1664.8755756999999</v>
      </c>
      <c r="F9" s="168">
        <f t="shared" si="3"/>
        <v>2386.1904321466668</v>
      </c>
      <c r="G9" s="168">
        <f t="shared" si="4"/>
        <v>9466.2127668881894</v>
      </c>
      <c r="H9" s="168">
        <f t="shared" si="5"/>
        <v>4668.6334541999995</v>
      </c>
      <c r="I9" s="168">
        <f t="shared" si="6"/>
        <v>39843.922490046658</v>
      </c>
      <c r="J9" s="168">
        <f t="shared" si="7"/>
        <v>49310.135256934846</v>
      </c>
      <c r="K9" s="168">
        <v>5217.1400000000003</v>
      </c>
      <c r="L9" s="168">
        <v>4455.88</v>
      </c>
    </row>
    <row r="10" spans="1:12" x14ac:dyDescent="0.25">
      <c r="A10" s="167">
        <f t="shared" si="8"/>
        <v>7</v>
      </c>
      <c r="B10" s="168">
        <v>15320.32</v>
      </c>
      <c r="C10" s="168">
        <f t="shared" si="0"/>
        <v>31251.920767999996</v>
      </c>
      <c r="D10" s="168">
        <f t="shared" si="1"/>
        <v>2604.3267306666662</v>
      </c>
      <c r="E10" s="168">
        <f t="shared" si="2"/>
        <v>1668.0680192</v>
      </c>
      <c r="F10" s="168">
        <f t="shared" si="3"/>
        <v>2395.9805922133332</v>
      </c>
      <c r="G10" s="168">
        <f t="shared" si="4"/>
        <v>9504.0007628646399</v>
      </c>
      <c r="H10" s="168">
        <f t="shared" si="5"/>
        <v>4687.7881151999991</v>
      </c>
      <c r="I10" s="168">
        <f t="shared" si="6"/>
        <v>40003.757494613325</v>
      </c>
      <c r="J10" s="168">
        <f t="shared" si="7"/>
        <v>49507.758257477966</v>
      </c>
      <c r="K10" s="168">
        <v>5261.4</v>
      </c>
      <c r="L10" s="168">
        <v>4493.54</v>
      </c>
    </row>
    <row r="11" spans="1:12" x14ac:dyDescent="0.25">
      <c r="A11" s="167">
        <f t="shared" si="8"/>
        <v>8</v>
      </c>
      <c r="B11" s="168">
        <v>15570.7</v>
      </c>
      <c r="C11" s="168">
        <f t="shared" si="0"/>
        <v>31762.67093</v>
      </c>
      <c r="D11" s="168">
        <f t="shared" si="1"/>
        <v>2646.8892441666667</v>
      </c>
      <c r="E11" s="168">
        <f t="shared" si="2"/>
        <v>1680.8367732500001</v>
      </c>
      <c r="F11" s="168">
        <f t="shared" si="3"/>
        <v>2435.1381046333336</v>
      </c>
      <c r="G11" s="168">
        <f t="shared" si="4"/>
        <v>9655.1406739282738</v>
      </c>
      <c r="H11" s="168">
        <f t="shared" si="5"/>
        <v>4764.4006394999997</v>
      </c>
      <c r="I11" s="168">
        <f t="shared" si="6"/>
        <v>40643.046447383327</v>
      </c>
      <c r="J11" s="168">
        <f t="shared" si="7"/>
        <v>50298.187121311603</v>
      </c>
      <c r="K11" s="168">
        <v>5305.66</v>
      </c>
      <c r="L11" s="168">
        <v>4531.1899999999996</v>
      </c>
    </row>
    <row r="12" spans="1:12" x14ac:dyDescent="0.25">
      <c r="A12" s="167">
        <f t="shared" si="8"/>
        <v>9</v>
      </c>
      <c r="B12" s="168">
        <v>15821.08</v>
      </c>
      <c r="C12" s="168">
        <f t="shared" si="0"/>
        <v>32273.421091999997</v>
      </c>
      <c r="D12" s="168">
        <f t="shared" si="1"/>
        <v>2689.4517576666663</v>
      </c>
      <c r="E12" s="168">
        <f t="shared" si="2"/>
        <v>1693.6055272999999</v>
      </c>
      <c r="F12" s="168">
        <f t="shared" si="3"/>
        <v>2474.295617053333</v>
      </c>
      <c r="G12" s="168">
        <f t="shared" si="4"/>
        <v>9806.2805849919096</v>
      </c>
      <c r="H12" s="168">
        <f t="shared" si="5"/>
        <v>4841.0131637999993</v>
      </c>
      <c r="I12" s="168">
        <f t="shared" si="6"/>
        <v>41282.335400153337</v>
      </c>
      <c r="J12" s="168">
        <f t="shared" si="7"/>
        <v>51088.615985145247</v>
      </c>
      <c r="K12" s="168">
        <v>5349.94</v>
      </c>
      <c r="L12" s="168">
        <v>4568.8599999999997</v>
      </c>
    </row>
    <row r="13" spans="1:12" x14ac:dyDescent="0.25">
      <c r="A13" s="167">
        <f t="shared" si="8"/>
        <v>10</v>
      </c>
      <c r="B13" s="168">
        <v>16071.46</v>
      </c>
      <c r="C13" s="168">
        <f t="shared" si="0"/>
        <v>32784.171253999993</v>
      </c>
      <c r="D13" s="168">
        <f t="shared" si="1"/>
        <v>2732.0142711666663</v>
      </c>
      <c r="E13" s="168">
        <f t="shared" si="2"/>
        <v>1706.3742813499998</v>
      </c>
      <c r="F13" s="168">
        <f t="shared" si="3"/>
        <v>2513.4531294733329</v>
      </c>
      <c r="G13" s="168">
        <f t="shared" si="4"/>
        <v>9957.4204960555435</v>
      </c>
      <c r="H13" s="168">
        <f t="shared" si="5"/>
        <v>4917.625688099999</v>
      </c>
      <c r="I13" s="168">
        <f t="shared" si="6"/>
        <v>41921.624352923325</v>
      </c>
      <c r="J13" s="168">
        <f t="shared" si="7"/>
        <v>51879.044848978869</v>
      </c>
      <c r="K13" s="168">
        <v>5523.6</v>
      </c>
      <c r="L13" s="168">
        <v>4716.6099999999997</v>
      </c>
    </row>
    <row r="14" spans="1:12" x14ac:dyDescent="0.25">
      <c r="A14" s="167">
        <f t="shared" si="8"/>
        <v>11</v>
      </c>
      <c r="B14" s="168">
        <v>16321.84</v>
      </c>
      <c r="C14" s="168">
        <f t="shared" si="0"/>
        <v>33294.921415999997</v>
      </c>
      <c r="D14" s="168">
        <f t="shared" si="1"/>
        <v>2774.5767846666663</v>
      </c>
      <c r="E14" s="168">
        <f t="shared" si="2"/>
        <v>1719.1430353999999</v>
      </c>
      <c r="F14" s="168">
        <f t="shared" si="3"/>
        <v>2552.6106418933332</v>
      </c>
      <c r="G14" s="168">
        <f t="shared" si="4"/>
        <v>10108.560407119179</v>
      </c>
      <c r="H14" s="168">
        <f t="shared" si="5"/>
        <v>4994.2382123999996</v>
      </c>
      <c r="I14" s="168">
        <f t="shared" si="6"/>
        <v>42560.913305693328</v>
      </c>
      <c r="J14" s="168">
        <f t="shared" si="7"/>
        <v>52669.473712812505</v>
      </c>
      <c r="K14" s="168">
        <v>5576.67</v>
      </c>
      <c r="L14" s="168">
        <v>4761.7700000000004</v>
      </c>
    </row>
    <row r="15" spans="1:12" x14ac:dyDescent="0.25">
      <c r="A15" s="167">
        <f t="shared" si="8"/>
        <v>12</v>
      </c>
      <c r="B15" s="168">
        <v>16572.22</v>
      </c>
      <c r="C15" s="168">
        <f t="shared" si="0"/>
        <v>33805.671578000001</v>
      </c>
      <c r="D15" s="168">
        <f t="shared" si="1"/>
        <v>2817.1392981666668</v>
      </c>
      <c r="E15" s="168">
        <f t="shared" si="2"/>
        <v>1731.91178945</v>
      </c>
      <c r="F15" s="168">
        <f t="shared" si="3"/>
        <v>2591.7681543133335</v>
      </c>
      <c r="G15" s="168">
        <f t="shared" si="4"/>
        <v>10259.700318182817</v>
      </c>
      <c r="H15" s="168">
        <f t="shared" si="5"/>
        <v>5070.8507367000002</v>
      </c>
      <c r="I15" s="168">
        <f t="shared" si="6"/>
        <v>43200.202258463338</v>
      </c>
      <c r="J15" s="168">
        <f t="shared" si="7"/>
        <v>53459.902576646156</v>
      </c>
      <c r="K15" s="168">
        <v>5629.77</v>
      </c>
      <c r="L15" s="168">
        <v>4806.95</v>
      </c>
    </row>
    <row r="16" spans="1:12" x14ac:dyDescent="0.25">
      <c r="A16" s="167">
        <f t="shared" si="8"/>
        <v>13</v>
      </c>
      <c r="B16" s="168">
        <v>16822.599999999999</v>
      </c>
      <c r="C16" s="168">
        <f t="shared" si="0"/>
        <v>34316.421739999991</v>
      </c>
      <c r="D16" s="168">
        <f t="shared" si="1"/>
        <v>2859.7018116666659</v>
      </c>
      <c r="E16" s="168">
        <f t="shared" si="2"/>
        <v>1744.6805434999997</v>
      </c>
      <c r="F16" s="168">
        <f t="shared" si="3"/>
        <v>2630.9256667333329</v>
      </c>
      <c r="G16" s="168">
        <f t="shared" si="4"/>
        <v>10410.840229246447</v>
      </c>
      <c r="H16" s="168">
        <f t="shared" si="5"/>
        <v>5147.4632609999981</v>
      </c>
      <c r="I16" s="168">
        <f t="shared" si="6"/>
        <v>43839.491211233319</v>
      </c>
      <c r="J16" s="168">
        <f t="shared" si="7"/>
        <v>54250.331440479764</v>
      </c>
      <c r="K16" s="168">
        <v>5682.85</v>
      </c>
      <c r="L16" s="168">
        <v>4852.1000000000004</v>
      </c>
    </row>
    <row r="17" spans="1:12" x14ac:dyDescent="0.25">
      <c r="A17" s="167">
        <f t="shared" si="8"/>
        <v>14</v>
      </c>
      <c r="B17" s="168">
        <v>16927.759999999998</v>
      </c>
      <c r="C17" s="168">
        <f t="shared" si="0"/>
        <v>34530.937623999991</v>
      </c>
      <c r="D17" s="168">
        <f t="shared" si="1"/>
        <v>2877.5781353333327</v>
      </c>
      <c r="E17" s="168">
        <f t="shared" si="2"/>
        <v>1750.0434405999999</v>
      </c>
      <c r="F17" s="168">
        <f t="shared" si="3"/>
        <v>2647.3718845066664</v>
      </c>
      <c r="G17" s="168">
        <f t="shared" si="4"/>
        <v>10474.319233350017</v>
      </c>
      <c r="H17" s="168">
        <f t="shared" si="5"/>
        <v>5179.6406435999988</v>
      </c>
      <c r="I17" s="168">
        <f t="shared" si="6"/>
        <v>44107.993592706654</v>
      </c>
      <c r="J17" s="168">
        <f t="shared" si="7"/>
        <v>54582.312826056674</v>
      </c>
      <c r="K17" s="168">
        <v>5735.95</v>
      </c>
      <c r="L17" s="168">
        <v>4897.28</v>
      </c>
    </row>
    <row r="18" spans="1:12" x14ac:dyDescent="0.25">
      <c r="A18" s="167">
        <f t="shared" si="8"/>
        <v>15</v>
      </c>
      <c r="B18" s="168">
        <v>17032.919999999998</v>
      </c>
      <c r="C18" s="168">
        <f t="shared" si="0"/>
        <v>34745.453507999991</v>
      </c>
      <c r="D18" s="168">
        <f t="shared" si="1"/>
        <v>2895.4544589999991</v>
      </c>
      <c r="E18" s="168">
        <f t="shared" si="2"/>
        <v>1755.4063376999998</v>
      </c>
      <c r="F18" s="168">
        <f t="shared" si="3"/>
        <v>2663.8181022799995</v>
      </c>
      <c r="G18" s="168">
        <f t="shared" si="4"/>
        <v>10537.798237453588</v>
      </c>
      <c r="H18" s="168">
        <f t="shared" si="5"/>
        <v>5211.8180261999987</v>
      </c>
      <c r="I18" s="168">
        <f t="shared" si="6"/>
        <v>44376.495974179983</v>
      </c>
      <c r="J18" s="168">
        <f t="shared" si="7"/>
        <v>54914.294211633569</v>
      </c>
      <c r="K18" s="168">
        <v>5789.04</v>
      </c>
      <c r="L18" s="168">
        <v>4942.45</v>
      </c>
    </row>
    <row r="19" spans="1:12" x14ac:dyDescent="0.25">
      <c r="A19" s="167">
        <f t="shared" si="8"/>
        <v>16</v>
      </c>
      <c r="B19" s="168">
        <v>17138.080000000002</v>
      </c>
      <c r="C19" s="168">
        <f t="shared" si="0"/>
        <v>34959.969391999999</v>
      </c>
      <c r="D19" s="168">
        <f t="shared" si="1"/>
        <v>2913.3307826666664</v>
      </c>
      <c r="E19" s="168">
        <f t="shared" si="2"/>
        <v>1760.7692348</v>
      </c>
      <c r="F19" s="168">
        <f t="shared" si="3"/>
        <v>2680.2643200533334</v>
      </c>
      <c r="G19" s="168">
        <f t="shared" si="4"/>
        <v>10601.27724155716</v>
      </c>
      <c r="H19" s="168">
        <f t="shared" si="5"/>
        <v>5243.9954087999995</v>
      </c>
      <c r="I19" s="168">
        <f t="shared" si="6"/>
        <v>44644.998355653333</v>
      </c>
      <c r="J19" s="168">
        <f t="shared" si="7"/>
        <v>55246.275597210493</v>
      </c>
      <c r="K19" s="168">
        <v>5842.13</v>
      </c>
      <c r="L19" s="168">
        <v>4987.62</v>
      </c>
    </row>
    <row r="20" spans="1:12" x14ac:dyDescent="0.25">
      <c r="A20" s="167">
        <f>A19+1</f>
        <v>17</v>
      </c>
      <c r="B20" s="168">
        <v>17243.240000000002</v>
      </c>
      <c r="C20" s="168">
        <f t="shared" si="0"/>
        <v>35174.485275999999</v>
      </c>
      <c r="D20" s="168">
        <f t="shared" si="1"/>
        <v>2931.2071063333333</v>
      </c>
      <c r="E20" s="168">
        <f t="shared" si="2"/>
        <v>1766.1321318999999</v>
      </c>
      <c r="F20" s="168">
        <f t="shared" si="3"/>
        <v>2696.710537826667</v>
      </c>
      <c r="G20" s="168">
        <f t="shared" si="4"/>
        <v>10664.75624566073</v>
      </c>
      <c r="H20" s="168">
        <f t="shared" si="5"/>
        <v>5276.1727913999994</v>
      </c>
      <c r="I20" s="168">
        <f t="shared" si="6"/>
        <v>44913.500737126662</v>
      </c>
      <c r="J20" s="168">
        <f t="shared" si="7"/>
        <v>55578.256982787396</v>
      </c>
      <c r="K20" s="168">
        <v>5895.23</v>
      </c>
      <c r="L20" s="168">
        <v>5032.8</v>
      </c>
    </row>
    <row r="21" spans="1:12" x14ac:dyDescent="0.25">
      <c r="A21" s="167">
        <f t="shared" si="8"/>
        <v>18</v>
      </c>
      <c r="B21" s="168">
        <v>17348.400000000001</v>
      </c>
      <c r="C21" s="168">
        <f t="shared" si="0"/>
        <v>35389.00116</v>
      </c>
      <c r="D21" s="168">
        <f t="shared" si="1"/>
        <v>2949.0834300000001</v>
      </c>
      <c r="E21" s="168">
        <f t="shared" si="2"/>
        <v>1771.4950290000002</v>
      </c>
      <c r="F21" s="168">
        <f t="shared" si="3"/>
        <v>2713.1567556000005</v>
      </c>
      <c r="G21" s="168">
        <f t="shared" si="4"/>
        <v>10728.235249764301</v>
      </c>
      <c r="H21" s="168">
        <f t="shared" si="5"/>
        <v>5308.3501740000002</v>
      </c>
      <c r="I21" s="168">
        <f t="shared" si="6"/>
        <v>45182.003118599998</v>
      </c>
      <c r="J21" s="168">
        <f t="shared" si="7"/>
        <v>55910.238368364298</v>
      </c>
      <c r="K21" s="168">
        <v>5948.3</v>
      </c>
      <c r="L21" s="168">
        <v>5077.96</v>
      </c>
    </row>
    <row r="22" spans="1:12" x14ac:dyDescent="0.25">
      <c r="A22" s="167">
        <f t="shared" si="8"/>
        <v>19</v>
      </c>
      <c r="B22" s="168">
        <v>17453.560000000001</v>
      </c>
      <c r="C22" s="168">
        <f t="shared" si="0"/>
        <v>35603.517044</v>
      </c>
      <c r="D22" s="168">
        <f t="shared" si="1"/>
        <v>2966.9597536666665</v>
      </c>
      <c r="E22" s="168">
        <f t="shared" si="2"/>
        <v>1776.8579261</v>
      </c>
      <c r="F22" s="168">
        <f t="shared" si="3"/>
        <v>2729.6029733733335</v>
      </c>
      <c r="G22" s="168">
        <f t="shared" si="4"/>
        <v>10791.714253867869</v>
      </c>
      <c r="H22" s="168">
        <f t="shared" si="5"/>
        <v>5340.5275566</v>
      </c>
      <c r="I22" s="168">
        <f t="shared" si="6"/>
        <v>45450.505500073326</v>
      </c>
      <c r="J22" s="168">
        <f t="shared" si="7"/>
        <v>56242.219753941194</v>
      </c>
      <c r="K22" s="168">
        <v>6001.41</v>
      </c>
      <c r="L22" s="168">
        <v>5123.1400000000003</v>
      </c>
    </row>
    <row r="23" spans="1:12" x14ac:dyDescent="0.25">
      <c r="A23" s="167">
        <f t="shared" si="8"/>
        <v>20</v>
      </c>
      <c r="B23" s="168">
        <v>17558.72</v>
      </c>
      <c r="C23" s="168">
        <f t="shared" si="0"/>
        <v>35818.032928000001</v>
      </c>
      <c r="D23" s="168">
        <f t="shared" si="1"/>
        <v>2984.8360773333334</v>
      </c>
      <c r="E23" s="168">
        <f t="shared" si="2"/>
        <v>1782.2208232</v>
      </c>
      <c r="F23" s="168">
        <f t="shared" si="3"/>
        <v>2746.049191146667</v>
      </c>
      <c r="G23" s="168">
        <f t="shared" si="4"/>
        <v>10855.193257971439</v>
      </c>
      <c r="H23" s="168">
        <f t="shared" si="5"/>
        <v>5372.7049391999999</v>
      </c>
      <c r="I23" s="168">
        <f t="shared" si="6"/>
        <v>45719.007881546662</v>
      </c>
      <c r="J23" s="168">
        <f t="shared" si="7"/>
        <v>56574.201139518103</v>
      </c>
      <c r="K23" s="168">
        <v>6054.48</v>
      </c>
      <c r="L23" s="168">
        <v>5168.3</v>
      </c>
    </row>
    <row r="24" spans="1:12" x14ac:dyDescent="0.25">
      <c r="A24" s="167">
        <f t="shared" si="8"/>
        <v>21</v>
      </c>
      <c r="B24" s="168">
        <v>17663.88</v>
      </c>
      <c r="C24" s="168">
        <f t="shared" si="0"/>
        <v>36032.548812000001</v>
      </c>
      <c r="D24" s="168">
        <f t="shared" si="1"/>
        <v>3002.7124010000002</v>
      </c>
      <c r="E24" s="168">
        <f t="shared" si="2"/>
        <v>1787.5837203000001</v>
      </c>
      <c r="F24" s="168">
        <f t="shared" si="3"/>
        <v>2762.4954089200005</v>
      </c>
      <c r="G24" s="168">
        <f t="shared" si="4"/>
        <v>10918.67226207501</v>
      </c>
      <c r="H24" s="168">
        <f t="shared" si="5"/>
        <v>5404.8823217999998</v>
      </c>
      <c r="I24" s="168">
        <f t="shared" si="6"/>
        <v>45987.510263019998</v>
      </c>
      <c r="J24" s="168">
        <f t="shared" si="7"/>
        <v>56906.182525095006</v>
      </c>
      <c r="K24" s="168">
        <v>6107.59</v>
      </c>
      <c r="L24" s="168">
        <v>5213.47</v>
      </c>
    </row>
    <row r="25" spans="1:12" x14ac:dyDescent="0.25">
      <c r="A25" s="167">
        <f t="shared" si="8"/>
        <v>22</v>
      </c>
      <c r="B25" s="168">
        <v>17769.04</v>
      </c>
      <c r="C25" s="168">
        <f t="shared" si="0"/>
        <v>36247.064696000001</v>
      </c>
      <c r="D25" s="168">
        <f t="shared" si="1"/>
        <v>3020.5887246666666</v>
      </c>
      <c r="E25" s="168">
        <f t="shared" si="2"/>
        <v>1792.9466173999999</v>
      </c>
      <c r="F25" s="168">
        <f t="shared" si="3"/>
        <v>2778.9416266933335</v>
      </c>
      <c r="G25" s="168">
        <f t="shared" si="4"/>
        <v>10982.15126617858</v>
      </c>
      <c r="H25" s="168">
        <f t="shared" si="5"/>
        <v>5437.0597043999996</v>
      </c>
      <c r="I25" s="168">
        <f t="shared" si="6"/>
        <v>46256.012644493334</v>
      </c>
      <c r="J25" s="168">
        <f t="shared" si="7"/>
        <v>57238.163910671916</v>
      </c>
      <c r="K25" s="168">
        <v>6160.66</v>
      </c>
      <c r="L25" s="168">
        <v>5258.63</v>
      </c>
    </row>
    <row r="26" spans="1:12" x14ac:dyDescent="0.25">
      <c r="A26" s="167">
        <f t="shared" si="8"/>
        <v>23</v>
      </c>
      <c r="B26" s="168">
        <v>17874.2</v>
      </c>
      <c r="C26" s="168">
        <f t="shared" si="0"/>
        <v>36461.580580000002</v>
      </c>
      <c r="D26" s="168">
        <f t="shared" si="1"/>
        <v>3038.4650483333335</v>
      </c>
      <c r="E26" s="168">
        <f t="shared" si="2"/>
        <v>1798.3095145000002</v>
      </c>
      <c r="F26" s="168">
        <f t="shared" si="3"/>
        <v>2795.387844466667</v>
      </c>
      <c r="G26" s="168">
        <f t="shared" si="4"/>
        <v>11045.63027028215</v>
      </c>
      <c r="H26" s="168">
        <f t="shared" si="5"/>
        <v>5469.2370870000004</v>
      </c>
      <c r="I26" s="168">
        <f t="shared" si="6"/>
        <v>46524.51502596667</v>
      </c>
      <c r="J26" s="168">
        <f t="shared" si="7"/>
        <v>57570.145296248818</v>
      </c>
      <c r="K26" s="168">
        <v>6213.76</v>
      </c>
      <c r="L26" s="168">
        <v>5303.81</v>
      </c>
    </row>
    <row r="27" spans="1:12" x14ac:dyDescent="0.25">
      <c r="A27" s="167">
        <f t="shared" si="8"/>
        <v>24</v>
      </c>
      <c r="B27" s="168">
        <v>17979.36</v>
      </c>
      <c r="C27" s="168">
        <f t="shared" si="0"/>
        <v>36676.096463999995</v>
      </c>
      <c r="D27" s="168">
        <f t="shared" si="1"/>
        <v>3056.3413719999994</v>
      </c>
      <c r="E27" s="168">
        <f t="shared" si="2"/>
        <v>1803.6724116</v>
      </c>
      <c r="F27" s="168">
        <f t="shared" si="3"/>
        <v>2811.8340622399996</v>
      </c>
      <c r="G27" s="168">
        <f t="shared" si="4"/>
        <v>11109.109274385719</v>
      </c>
      <c r="H27" s="168">
        <f t="shared" si="5"/>
        <v>5501.4144695999994</v>
      </c>
      <c r="I27" s="168">
        <f t="shared" si="6"/>
        <v>46793.017407439991</v>
      </c>
      <c r="J27" s="168">
        <f t="shared" si="7"/>
        <v>57902.126681825714</v>
      </c>
      <c r="K27" s="168">
        <v>6267.07</v>
      </c>
      <c r="L27" s="168">
        <v>5349.17</v>
      </c>
    </row>
    <row r="28" spans="1:12" x14ac:dyDescent="0.25">
      <c r="A28" s="167">
        <f t="shared" si="8"/>
        <v>25</v>
      </c>
      <c r="B28" s="168">
        <v>18084.52</v>
      </c>
      <c r="C28" s="168">
        <f t="shared" si="0"/>
        <v>36890.612347999995</v>
      </c>
      <c r="D28" s="168">
        <f t="shared" si="1"/>
        <v>3074.2176956666663</v>
      </c>
      <c r="E28" s="168">
        <f t="shared" si="2"/>
        <v>1809.0353086999999</v>
      </c>
      <c r="F28" s="168">
        <f t="shared" si="3"/>
        <v>2828.2802800133331</v>
      </c>
      <c r="G28" s="168">
        <f t="shared" si="4"/>
        <v>11172.588278489287</v>
      </c>
      <c r="H28" s="168">
        <f t="shared" si="5"/>
        <v>5533.5918521999993</v>
      </c>
      <c r="I28" s="168">
        <f t="shared" si="6"/>
        <v>47061.519788913327</v>
      </c>
      <c r="J28" s="168">
        <f t="shared" si="7"/>
        <v>58234.108067402616</v>
      </c>
      <c r="K28" s="168">
        <v>6321.94</v>
      </c>
      <c r="L28" s="168">
        <v>5395.85</v>
      </c>
    </row>
    <row r="29" spans="1:12" x14ac:dyDescent="0.25">
      <c r="K29" s="168">
        <v>6376.1</v>
      </c>
      <c r="L29" s="168">
        <v>5441.93</v>
      </c>
    </row>
    <row r="30" spans="1:12" x14ac:dyDescent="0.25">
      <c r="K30" s="168">
        <v>6430.24</v>
      </c>
      <c r="L30" s="168">
        <v>5487.99</v>
      </c>
    </row>
    <row r="31" spans="1:12" x14ac:dyDescent="0.25">
      <c r="K31" s="168">
        <v>6484.39</v>
      </c>
      <c r="L31" s="168">
        <v>5534.06</v>
      </c>
    </row>
    <row r="32" spans="1:12" x14ac:dyDescent="0.25">
      <c r="K32" s="168">
        <v>6538.54</v>
      </c>
      <c r="L32" s="168">
        <v>5580.13</v>
      </c>
    </row>
    <row r="33" spans="1:12" x14ac:dyDescent="0.25">
      <c r="K33" s="168">
        <v>6538.54</v>
      </c>
      <c r="L33" s="168">
        <v>5580.13</v>
      </c>
    </row>
    <row r="34" spans="1:12" x14ac:dyDescent="0.25">
      <c r="K34" s="168">
        <v>6563.13</v>
      </c>
      <c r="L34" s="168">
        <v>5601.06</v>
      </c>
    </row>
    <row r="37" spans="1:12" s="179" customFormat="1" x14ac:dyDescent="0.25">
      <c r="A37" s="179">
        <v>1</v>
      </c>
      <c r="B37" s="179">
        <v>2</v>
      </c>
      <c r="C37" s="179">
        <v>3</v>
      </c>
      <c r="D37" s="179">
        <v>4</v>
      </c>
      <c r="E37" s="179">
        <v>5</v>
      </c>
      <c r="F37" s="179">
        <v>6</v>
      </c>
      <c r="G37" s="179">
        <v>7</v>
      </c>
      <c r="H37" s="179">
        <v>8</v>
      </c>
      <c r="I37" s="179">
        <v>9</v>
      </c>
      <c r="J37" s="179">
        <v>10</v>
      </c>
      <c r="K37" s="179">
        <v>11</v>
      </c>
      <c r="L37" s="179">
        <v>12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A34734C6C4443B443F95ED63174ED" ma:contentTypeVersion="11" ma:contentTypeDescription="Crée un document." ma:contentTypeScope="" ma:versionID="99ff7905e024ec36ebe64b96e2132c43">
  <xsd:schema xmlns:xsd="http://www.w3.org/2001/XMLSchema" xmlns:xs="http://www.w3.org/2001/XMLSchema" xmlns:p="http://schemas.microsoft.com/office/2006/metadata/properties" xmlns:ns3="45a97d6e-63f2-4304-a912-1a3a13387af3" xmlns:ns4="89f413c1-a810-47f4-b555-c1e449e9519c" targetNamespace="http://schemas.microsoft.com/office/2006/metadata/properties" ma:root="true" ma:fieldsID="f2ee7821d1b78264cb27e1989c2a5f87" ns3:_="" ns4:_="">
    <xsd:import namespace="45a97d6e-63f2-4304-a912-1a3a13387af3"/>
    <xsd:import namespace="89f413c1-a810-47f4-b555-c1e449e951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97d6e-63f2-4304-a912-1a3a13387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413c1-a810-47f4-b555-c1e449e951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CF9D6-316B-4F55-A9CE-0C03A1DA4320}">
  <ds:schemaRefs>
    <ds:schemaRef ds:uri="89f413c1-a810-47f4-b555-c1e449e9519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5a97d6e-63f2-4304-a912-1a3a13387af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95AFE4-F1FA-4B9C-9E52-D3EA4E913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C4241-E31E-43EC-855E-D3A043D94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97d6e-63f2-4304-a912-1a3a13387af3"/>
    <ds:schemaRef ds:uri="89f413c1-a810-47f4-b555-c1e449e95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Mode d'emploi</vt:lpstr>
      <vt:lpstr>Signalétique</vt:lpstr>
      <vt:lpstr>Investissements</vt:lpstr>
      <vt:lpstr>Fonctionnement</vt:lpstr>
      <vt:lpstr>Emploi</vt:lpstr>
      <vt:lpstr>Recettes</vt:lpstr>
      <vt:lpstr>Financement emploi ONE</vt:lpstr>
      <vt:lpstr>Synthèse</vt:lpstr>
      <vt:lpstr>E3</vt:lpstr>
      <vt:lpstr>D2</vt:lpstr>
      <vt:lpstr>B1</vt:lpstr>
      <vt:lpstr>B2</vt:lpstr>
      <vt:lpstr>B3</vt:lpstr>
      <vt:lpstr>Financements emploi</vt:lpstr>
      <vt:lpstr>Normes encadrement</vt:lpstr>
      <vt:lpstr>PFP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 admin &amp; fin</dc:creator>
  <cp:keywords/>
  <dc:description/>
  <cp:lastModifiedBy>Marie Didriche</cp:lastModifiedBy>
  <cp:revision/>
  <cp:lastPrinted>2024-02-20T06:33:01Z</cp:lastPrinted>
  <dcterms:created xsi:type="dcterms:W3CDTF">2021-02-25T14:11:28Z</dcterms:created>
  <dcterms:modified xsi:type="dcterms:W3CDTF">2024-06-10T14:06:17Z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0x010100B01A34734C6C4443B443F95ED63174ED</vt:lpwstr>
  </property>
</Properties>
</file>